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0.xml" ContentType="application/vnd.openxmlformats-officedocument.spreadsheetml.comments+xml"/>
  <Override PartName="/xl/drawings/drawing26.xml" ContentType="application/vnd.openxmlformats-officedocument.drawing+xml"/>
  <Override PartName="/xl/comments11.xml" ContentType="application/vnd.openxmlformats-officedocument.spreadsheetml.comments+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Reporte IMG vigencia 2022\"/>
    </mc:Choice>
  </mc:AlternateContent>
  <bookViews>
    <workbookView xWindow="15660" yWindow="495" windowWidth="13140" windowHeight="15960" tabRatio="647"/>
  </bookViews>
  <sheets>
    <sheet name="Datos Generales" sheetId="38" r:id="rId1"/>
    <sheet name="Anexo 1" sheetId="54" r:id="rId2"/>
    <sheet name="Hoja1" sheetId="41" state="hidden" r:id="rId3"/>
    <sheet name="Anexo2 Protocolo Inf Gestión GD" sheetId="47" state="hidden" r:id="rId4"/>
    <sheet name="Anexo 5.1 INGRESOS" sheetId="49" state="hidden" r:id="rId5"/>
    <sheet name="PROTOCOLO INGRESOS" sheetId="50" state="hidden" r:id="rId6"/>
    <sheet name="Anexo 5.1. INGRESOS REV MESA" sheetId="52" r:id="rId7"/>
    <sheet name="Anexo 5.2. infor Gastos mesa 55" sheetId="53" r:id="rId8"/>
    <sheet name="Anexo 5.2. informe Gastos" sheetId="37" state="hidden" r:id="rId9"/>
    <sheet name="Protocolo Gastos" sheetId="46" state="hidden" r:id="rId10"/>
    <sheet name="Anexo 5.2-A. Gastos Rev" sheetId="51" r:id="rId11"/>
    <sheet name="Anexo 3 Matriz IMG" sheetId="19" r:id="rId12"/>
    <sheet name="1POMCAS" sheetId="1" r:id="rId13"/>
    <sheet name="2PORH" sheetId="2" r:id="rId14"/>
    <sheet name="3PSMV" sheetId="3" r:id="rId15"/>
    <sheet name="4UsoAguas" sheetId="4" r:id="rId16"/>
    <sheet name="5PUEAA" sheetId="5" r:id="rId17"/>
    <sheet name="6POMCASejec" sheetId="6" r:id="rId18"/>
    <sheet name="7Clima" sheetId="8" r:id="rId19"/>
    <sheet name="8Suelo" sheetId="9" r:id="rId20"/>
    <sheet name="9RUNAP" sheetId="10" r:id="rId21"/>
    <sheet name="10Paramos" sheetId="11" r:id="rId22"/>
    <sheet name="11Forest" sheetId="12" r:id="rId23"/>
    <sheet name="12PlanesAP" sheetId="13" r:id="rId24"/>
    <sheet name="13Amenaz" sheetId="14" r:id="rId25"/>
    <sheet name="14Invasor" sheetId="15" r:id="rId26"/>
    <sheet name="15Restaura" sheetId="16" r:id="rId27"/>
    <sheet name="16MIZC" sheetId="17" r:id="rId28"/>
    <sheet name="17PGIRS" sheetId="18" r:id="rId29"/>
    <sheet name="18Sector" sheetId="20" r:id="rId30"/>
    <sheet name="19GAU" sheetId="21" r:id="rId31"/>
    <sheet name="20Negoc" sheetId="22" r:id="rId32"/>
    <sheet name="21TiempoT" sheetId="23" r:id="rId33"/>
    <sheet name="22Autor" sheetId="24" r:id="rId34"/>
    <sheet name="23Sanc" sheetId="25" r:id="rId35"/>
    <sheet name="24POT" sheetId="26" r:id="rId36"/>
    <sheet name="25Redes" sheetId="27" r:id="rId37"/>
    <sheet name="26SIAC" sheetId="28" r:id="rId38"/>
    <sheet name="27Educa" sheetId="29" r:id="rId39"/>
    <sheet name="Observa" sheetId="32" r:id="rId40"/>
    <sheet name="Formulas" sheetId="33"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14" hidden="1">'3PSMV'!$E$6:$E$75</definedName>
    <definedName name="_xlnm._FilterDatabase" localSheetId="1" hidden="1">'Anexo 1'!$A$7:$BD$7</definedName>
    <definedName name="_xlnm._FilterDatabase" localSheetId="4" hidden="1">'Anexo 5.1 INGRESOS'!$A$6:$GI$523</definedName>
    <definedName name="_xlnm._FilterDatabase" localSheetId="6" hidden="1">'Anexo 5.1. INGRESOS REV MESA'!$A$5:$GI$523</definedName>
    <definedName name="_xlnm._FilterDatabase" localSheetId="10" hidden="1">'Anexo 5.2-A. Gastos Rev'!$A$1:$BZ$65</definedName>
    <definedName name="_Toc467769469" localSheetId="13">'2PORH'!#REF!</definedName>
    <definedName name="_Toc467769470" localSheetId="14">'3PSMV'!#REF!</definedName>
    <definedName name="_Toc467769471" localSheetId="15">'4UsoAguas'!#REF!</definedName>
    <definedName name="_Toc467769472" localSheetId="16">'5PUEAA'!#REF!</definedName>
    <definedName name="_Toc467769473" localSheetId="17">'6POMCASejec'!#REF!</definedName>
    <definedName name="_Toc467769474" localSheetId="18">'7Clima'!#REF!</definedName>
    <definedName name="_Toc467769475" localSheetId="19">'8Suelo'!#REF!</definedName>
    <definedName name="_Toc467769476" localSheetId="20">'9RUNAP'!$B$6</definedName>
    <definedName name="_Toc467769477" localSheetId="21">'10Paramos'!#REF!</definedName>
    <definedName name="_Toc467769478" localSheetId="22">'11Forest'!#REF!</definedName>
    <definedName name="_Toc467769479" localSheetId="23">'12PlanesAP'!#REF!</definedName>
    <definedName name="_Toc467769480" localSheetId="24">'13Amenaz'!#REF!</definedName>
    <definedName name="_Toc467769481" localSheetId="25">'14Invasor'!#REF!</definedName>
    <definedName name="_Toc467769482" localSheetId="26">'15Restaura'!#REF!</definedName>
    <definedName name="_Toc467769483" localSheetId="27">'16MIZC'!#REF!</definedName>
    <definedName name="_Toc467769484" localSheetId="28">'17PGIRS'!#REF!</definedName>
    <definedName name="_Toc467769485" localSheetId="29">'18Sector'!#REF!</definedName>
    <definedName name="_Toc467769486" localSheetId="30">'19GAU'!#REF!</definedName>
    <definedName name="_Toc467769487" localSheetId="31">'20Negoc'!#REF!</definedName>
    <definedName name="_Toc467769488" localSheetId="32">'21TiempoT'!#REF!</definedName>
    <definedName name="_Toc467769489" localSheetId="33">'22Autor'!#REF!</definedName>
    <definedName name="_Toc467769490" localSheetId="34">'23Sanc'!#REF!</definedName>
    <definedName name="_Toc467769491" localSheetId="35">'24POT'!#REF!</definedName>
    <definedName name="_Toc467769492" localSheetId="36">'25Redes'!#REF!</definedName>
    <definedName name="_Toc467769493" localSheetId="37">'26SIAC'!#REF!</definedName>
    <definedName name="_Toc467769494" localSheetId="38">'27Educa'!#REF!</definedName>
    <definedName name="_xlnm.Print_Area" localSheetId="4">'Anexo 5.1 INGRESOS'!#REF!</definedName>
    <definedName name="_xlnm.Print_Area" localSheetId="6">'Anexo 5.1. INGRESOS REV MESA'!#REF!</definedName>
    <definedName name="_xlnm.Print_Area" localSheetId="7">'Anexo 5.2. infor Gastos mesa 55'!#REF!</definedName>
    <definedName name="_xlnm.Print_Area" localSheetId="8">'Anexo 5.2. informe Gastos'!#REF!</definedName>
    <definedName name="_xlnm.Print_Area" localSheetId="10">'Anexo 5.2-A. Gastos Rev'!#REF!</definedName>
    <definedName name="_xlnm.Print_Area" localSheetId="3">'Anexo2 Protocolo Inf Gestión GD'!$A$1:$B$35</definedName>
    <definedName name="Lista_CAR" localSheetId="4">'[1]Datos Generales'!$H$5:$H$37</definedName>
    <definedName name="Lista_CAR" localSheetId="6">'[1]Datos Generales'!$H$5:$H$37</definedName>
    <definedName name="Lista_CAR" localSheetId="10">'[2]Datos Generales'!$H$5:$H$37</definedName>
    <definedName name="Lista_CAR" localSheetId="3">'[3]Datos Generales'!$H$5:$H$36</definedName>
    <definedName name="Lista_CAR" localSheetId="9">'[3]Datos Generales'!$H$5:$H$36</definedName>
    <definedName name="Lista_CAR" localSheetId="5">'[4]Datos Generales'!$H$5:$H$37</definedName>
    <definedName name="Lista_CAR">'Datos Generales'!$H$5:$H$37</definedName>
    <definedName name="REPORTE" comment="SI SE REPORTA" localSheetId="4">[1]Formulas!$F$33:$F$34</definedName>
    <definedName name="REPORTE" comment="SI SE REPORTA" localSheetId="6">[1]Formulas!$F$33:$F$34</definedName>
    <definedName name="REPORTE" comment="SI SE REPORTA" localSheetId="10">[2]Formulas!$F$33:$F$34</definedName>
    <definedName name="REPORTE" comment="SI SE REPORTA" localSheetId="3">[3]Formulas!$F$33:$F$34</definedName>
    <definedName name="REPORTE" comment="SI SE REPORTA" localSheetId="9">[3]Formulas!$F$33:$F$34</definedName>
    <definedName name="REPORTE" comment="SI SE REPORTA" localSheetId="5">[4]Formulas!$F$33:$F$34</definedName>
    <definedName name="REPORTE" comment="SI SE REPORTA">Formulas!$F$33:$F$34</definedName>
    <definedName name="SI" comment="OPCION SI O NO" localSheetId="4">[1]Formulas!$D$33:$D$34</definedName>
    <definedName name="SI" comment="OPCION SI O NO" localSheetId="6">[1]Formulas!$D$33:$D$34</definedName>
    <definedName name="SI" comment="OPCION SI O NO" localSheetId="10">[2]Formulas!$D$33:$D$34</definedName>
    <definedName name="SI" comment="OPCION SI O NO" localSheetId="3">[3]Formulas!$D$33:$D$34</definedName>
    <definedName name="SI" comment="OPCION SI O NO" localSheetId="9">[3]Formulas!$D$33:$D$34</definedName>
    <definedName name="SI" comment="OPCION SI O NO" localSheetId="5">[4]Formulas!$D$33:$D$34</definedName>
    <definedName name="SI" comment="OPCION SI O NO">Formulas!$D$33:$D$34</definedName>
    <definedName name="Vigencias">'Datos Generales'!$H$39:$H$46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3" i="24" l="1"/>
  <c r="E112" i="24"/>
  <c r="E111" i="24"/>
  <c r="E110" i="24"/>
  <c r="E109" i="24"/>
  <c r="K33" i="21"/>
  <c r="J33" i="21"/>
  <c r="H29" i="16"/>
  <c r="H28" i="16"/>
  <c r="H27" i="16"/>
  <c r="G17" i="16"/>
  <c r="E21" i="12"/>
  <c r="H28" i="9"/>
  <c r="H27" i="9"/>
  <c r="G38" i="6"/>
  <c r="G37" i="6"/>
  <c r="G36" i="6"/>
  <c r="G35" i="6"/>
  <c r="G34" i="6"/>
  <c r="G33" i="6"/>
  <c r="F106" i="24" l="1"/>
  <c r="G106" i="24"/>
  <c r="G18" i="22" l="1"/>
  <c r="K24" i="54"/>
  <c r="H23" i="2" l="1"/>
  <c r="G23" i="2"/>
  <c r="F23" i="2"/>
  <c r="E23" i="2"/>
  <c r="I22" i="2"/>
  <c r="I23" i="2" s="1"/>
  <c r="I21" i="2"/>
  <c r="D12" i="2"/>
  <c r="D11" i="2"/>
  <c r="D8" i="2"/>
  <c r="A2" i="2"/>
  <c r="AP24" i="54" l="1"/>
  <c r="BR134" i="51" l="1"/>
  <c r="BV134" i="51"/>
  <c r="R134" i="51"/>
  <c r="BY6" i="51"/>
  <c r="BV156" i="51"/>
  <c r="CD132" i="51"/>
  <c r="AD136" i="54" s="1"/>
  <c r="J150" i="51"/>
  <c r="J149" i="51" s="1"/>
  <c r="K150" i="51"/>
  <c r="K149" i="51" s="1"/>
  <c r="L150" i="51"/>
  <c r="L149" i="51" s="1"/>
  <c r="M150" i="51"/>
  <c r="M149" i="51" s="1"/>
  <c r="N150" i="51"/>
  <c r="N149" i="51" s="1"/>
  <c r="O150" i="51"/>
  <c r="O149" i="51" s="1"/>
  <c r="P150" i="51"/>
  <c r="P149" i="51" s="1"/>
  <c r="Q150" i="51"/>
  <c r="Q149" i="51" s="1"/>
  <c r="R150" i="51"/>
  <c r="R149" i="51" s="1"/>
  <c r="V150" i="51"/>
  <c r="V149" i="51" s="1"/>
  <c r="Z150" i="51"/>
  <c r="Z149" i="51" s="1"/>
  <c r="AA150" i="51"/>
  <c r="AA149" i="51" s="1"/>
  <c r="AB150" i="51"/>
  <c r="AB149" i="51" s="1"/>
  <c r="AC150" i="51"/>
  <c r="AC149" i="51" s="1"/>
  <c r="AD150" i="51"/>
  <c r="AD149" i="51" s="1"/>
  <c r="AH150" i="51"/>
  <c r="AH149" i="51" s="1"/>
  <c r="AI150" i="51"/>
  <c r="AI149" i="51" s="1"/>
  <c r="AJ150" i="51"/>
  <c r="AJ149" i="51" s="1"/>
  <c r="AK150" i="51"/>
  <c r="AK149" i="51" s="1"/>
  <c r="AL150" i="51"/>
  <c r="AL149" i="51" s="1"/>
  <c r="AP150" i="51"/>
  <c r="AP149" i="51" s="1"/>
  <c r="AQ150" i="51"/>
  <c r="AQ149" i="51" s="1"/>
  <c r="AR150" i="51"/>
  <c r="AR149" i="51" s="1"/>
  <c r="AS150" i="51"/>
  <c r="AS149" i="51" s="1"/>
  <c r="AT150" i="51"/>
  <c r="AT149" i="51" s="1"/>
  <c r="AU150" i="51"/>
  <c r="AU149" i="51" s="1"/>
  <c r="AV150" i="51"/>
  <c r="AV149" i="51" s="1"/>
  <c r="AW150" i="51"/>
  <c r="AX150" i="51"/>
  <c r="AX149" i="51" s="1"/>
  <c r="BB150" i="51"/>
  <c r="BB149" i="51" s="1"/>
  <c r="BJ150" i="51"/>
  <c r="BJ149" i="51" s="1"/>
  <c r="BK150" i="51"/>
  <c r="BK149" i="51" s="1"/>
  <c r="BL150" i="51"/>
  <c r="BL149" i="51" s="1"/>
  <c r="BM150" i="51"/>
  <c r="BM149" i="51" s="1"/>
  <c r="BN150" i="51"/>
  <c r="BN149" i="51" s="1"/>
  <c r="BO150" i="51"/>
  <c r="BO149" i="51" s="1"/>
  <c r="BP150" i="51"/>
  <c r="BP149" i="51" s="1"/>
  <c r="BQ150" i="51"/>
  <c r="BQ149" i="51" s="1"/>
  <c r="BV150" i="51"/>
  <c r="BV149" i="51" s="1"/>
  <c r="BW150" i="51"/>
  <c r="BW149" i="51" s="1"/>
  <c r="BX150" i="51"/>
  <c r="BX149" i="51" s="1"/>
  <c r="BY150" i="51"/>
  <c r="BY149" i="51" s="1"/>
  <c r="BZ150" i="51"/>
  <c r="BZ149" i="51" s="1"/>
  <c r="AW149" i="51"/>
  <c r="N134" i="51"/>
  <c r="V134" i="51"/>
  <c r="W134" i="51"/>
  <c r="X134" i="51"/>
  <c r="Y134" i="51"/>
  <c r="Z134" i="51"/>
  <c r="AA134" i="51"/>
  <c r="AB134" i="51"/>
  <c r="AC134" i="51"/>
  <c r="AD134" i="51"/>
  <c r="AE134" i="51"/>
  <c r="AF134" i="51"/>
  <c r="AG134" i="51"/>
  <c r="AH134" i="51"/>
  <c r="AI134" i="51"/>
  <c r="AJ134" i="51"/>
  <c r="AK134" i="51"/>
  <c r="AL134" i="51"/>
  <c r="AM134" i="51"/>
  <c r="AN134" i="51"/>
  <c r="AO134" i="51"/>
  <c r="AP134" i="51"/>
  <c r="AQ134" i="51"/>
  <c r="AR134" i="51"/>
  <c r="AS134" i="51"/>
  <c r="AT134" i="51"/>
  <c r="AU134" i="51"/>
  <c r="AV134" i="51"/>
  <c r="AW134" i="51"/>
  <c r="AX134" i="51"/>
  <c r="AY134" i="51"/>
  <c r="AZ134" i="51"/>
  <c r="BA134" i="51"/>
  <c r="BB134" i="51"/>
  <c r="BC134" i="51"/>
  <c r="BD134" i="51"/>
  <c r="BE134" i="51"/>
  <c r="BF134" i="51"/>
  <c r="BG134" i="51"/>
  <c r="BH134" i="51"/>
  <c r="BI134" i="51"/>
  <c r="BJ134" i="51"/>
  <c r="BK134" i="51"/>
  <c r="BL134" i="51"/>
  <c r="BM134" i="51"/>
  <c r="BN134" i="51"/>
  <c r="BO134" i="51"/>
  <c r="BP134" i="51"/>
  <c r="BQ134" i="51"/>
  <c r="BZ134" i="51"/>
  <c r="CA134" i="51"/>
  <c r="CB134" i="51"/>
  <c r="CC134" i="51"/>
  <c r="N125" i="51"/>
  <c r="N124" i="51" s="1"/>
  <c r="O125" i="51"/>
  <c r="O124" i="51" s="1"/>
  <c r="P125" i="51"/>
  <c r="P124" i="51" s="1"/>
  <c r="Q125" i="51"/>
  <c r="Q124" i="51" s="1"/>
  <c r="R125" i="51"/>
  <c r="R124" i="51" s="1"/>
  <c r="S125" i="51"/>
  <c r="S124" i="51" s="1"/>
  <c r="T125" i="51"/>
  <c r="T124" i="51" s="1"/>
  <c r="U125" i="51"/>
  <c r="V125" i="51"/>
  <c r="V124" i="51" s="1"/>
  <c r="W125" i="51"/>
  <c r="W124" i="51" s="1"/>
  <c r="X125" i="51"/>
  <c r="X124" i="51" s="1"/>
  <c r="Y125" i="51"/>
  <c r="Y124" i="51" s="1"/>
  <c r="Z125" i="51"/>
  <c r="Z124" i="51" s="1"/>
  <c r="AA125" i="51"/>
  <c r="AA124" i="51" s="1"/>
  <c r="AB125" i="51"/>
  <c r="AB124" i="51" s="1"/>
  <c r="AC125" i="51"/>
  <c r="AC124" i="51" s="1"/>
  <c r="AD125" i="51"/>
  <c r="AD124" i="51" s="1"/>
  <c r="AE125" i="51"/>
  <c r="AE124" i="51" s="1"/>
  <c r="AF125" i="51"/>
  <c r="AF124" i="51" s="1"/>
  <c r="AG125" i="51"/>
  <c r="AG124" i="51" s="1"/>
  <c r="AH125" i="51"/>
  <c r="AH124" i="51" s="1"/>
  <c r="AI125" i="51"/>
  <c r="AI124" i="51" s="1"/>
  <c r="AJ125" i="51"/>
  <c r="AJ124" i="51" s="1"/>
  <c r="AK125" i="51"/>
  <c r="AK124" i="51" s="1"/>
  <c r="AL125" i="51"/>
  <c r="AL124" i="51" s="1"/>
  <c r="AM125" i="51"/>
  <c r="AM124" i="51" s="1"/>
  <c r="AN125" i="51"/>
  <c r="AN124" i="51" s="1"/>
  <c r="AO125" i="51"/>
  <c r="AO124" i="51" s="1"/>
  <c r="AP125" i="51"/>
  <c r="AP124" i="51" s="1"/>
  <c r="AQ125" i="51"/>
  <c r="AQ124" i="51" s="1"/>
  <c r="AR125" i="51"/>
  <c r="AR124" i="51" s="1"/>
  <c r="AS125" i="51"/>
  <c r="AS124" i="51" s="1"/>
  <c r="AT125" i="51"/>
  <c r="AT124" i="51" s="1"/>
  <c r="AU125" i="51"/>
  <c r="AU124" i="51" s="1"/>
  <c r="AV125" i="51"/>
  <c r="AV124" i="51" s="1"/>
  <c r="AW125" i="51"/>
  <c r="AW124" i="51" s="1"/>
  <c r="AX125" i="51"/>
  <c r="AX124" i="51" s="1"/>
  <c r="AY125" i="51"/>
  <c r="AY124" i="51" s="1"/>
  <c r="AZ125" i="51"/>
  <c r="AZ124" i="51" s="1"/>
  <c r="BA125" i="51"/>
  <c r="BA124" i="51" s="1"/>
  <c r="BB125" i="51"/>
  <c r="BB124" i="51" s="1"/>
  <c r="BC125" i="51"/>
  <c r="BC124" i="51" s="1"/>
  <c r="BD125" i="51"/>
  <c r="BD124" i="51" s="1"/>
  <c r="BE125" i="51"/>
  <c r="BE124" i="51" s="1"/>
  <c r="BF125" i="51"/>
  <c r="BF124" i="51" s="1"/>
  <c r="BG125" i="51"/>
  <c r="BG124" i="51" s="1"/>
  <c r="BH125" i="51"/>
  <c r="BH124" i="51" s="1"/>
  <c r="BI125" i="51"/>
  <c r="BI124" i="51" s="1"/>
  <c r="BJ125" i="51"/>
  <c r="BJ124" i="51" s="1"/>
  <c r="BK125" i="51"/>
  <c r="BK124" i="51" s="1"/>
  <c r="BL125" i="51"/>
  <c r="BL124" i="51" s="1"/>
  <c r="BM125" i="51"/>
  <c r="BM124" i="51" s="1"/>
  <c r="BN125" i="51"/>
  <c r="BN124" i="51" s="1"/>
  <c r="BO125" i="51"/>
  <c r="BO124" i="51" s="1"/>
  <c r="BP125" i="51"/>
  <c r="BP124" i="51" s="1"/>
  <c r="BQ125" i="51"/>
  <c r="BQ124" i="51" s="1"/>
  <c r="BR125" i="51"/>
  <c r="BR124" i="51" s="1"/>
  <c r="BS125" i="51"/>
  <c r="BS124" i="51" s="1"/>
  <c r="BT125" i="51"/>
  <c r="BT124" i="51" s="1"/>
  <c r="BU125" i="51"/>
  <c r="BU124" i="51" s="1"/>
  <c r="BV125" i="51"/>
  <c r="BV124" i="51" s="1"/>
  <c r="BZ125" i="51"/>
  <c r="BZ124" i="51" s="1"/>
  <c r="CA125" i="51"/>
  <c r="CA124" i="51" s="1"/>
  <c r="CB125" i="51"/>
  <c r="CB124" i="51" s="1"/>
  <c r="CC125" i="51"/>
  <c r="CC124" i="51" s="1"/>
  <c r="U124" i="51"/>
  <c r="J120" i="51"/>
  <c r="J119" i="51" s="1"/>
  <c r="K120" i="51"/>
  <c r="L120" i="51"/>
  <c r="M120" i="51"/>
  <c r="M119" i="51" s="1"/>
  <c r="N120" i="51"/>
  <c r="N119" i="51" s="1"/>
  <c r="O120" i="51"/>
  <c r="O119" i="51" s="1"/>
  <c r="P120" i="51"/>
  <c r="P119" i="51" s="1"/>
  <c r="Q120" i="51"/>
  <c r="Q119" i="51" s="1"/>
  <c r="R120" i="51"/>
  <c r="R119" i="51" s="1"/>
  <c r="S120" i="51"/>
  <c r="S119" i="51" s="1"/>
  <c r="T120" i="51"/>
  <c r="T119" i="51" s="1"/>
  <c r="U120" i="51"/>
  <c r="U119" i="51" s="1"/>
  <c r="V120" i="51"/>
  <c r="V119" i="51" s="1"/>
  <c r="W120" i="51"/>
  <c r="W119" i="51" s="1"/>
  <c r="X120" i="51"/>
  <c r="X119" i="51" s="1"/>
  <c r="Y120" i="51"/>
  <c r="Y119" i="51" s="1"/>
  <c r="Z120" i="51"/>
  <c r="Z119" i="51" s="1"/>
  <c r="AA120" i="51"/>
  <c r="AA119" i="51" s="1"/>
  <c r="AB120" i="51"/>
  <c r="AB119" i="51" s="1"/>
  <c r="AC120" i="51"/>
  <c r="AC119" i="51" s="1"/>
  <c r="AD120" i="51"/>
  <c r="AD119" i="51" s="1"/>
  <c r="AE120" i="51"/>
  <c r="AE119" i="51" s="1"/>
  <c r="AF120" i="51"/>
  <c r="AF119" i="51" s="1"/>
  <c r="AG120" i="51"/>
  <c r="AG119" i="51" s="1"/>
  <c r="AH120" i="51"/>
  <c r="AH119" i="51" s="1"/>
  <c r="AI120" i="51"/>
  <c r="AI119" i="51" s="1"/>
  <c r="AJ120" i="51"/>
  <c r="AJ119" i="51" s="1"/>
  <c r="AK120" i="51"/>
  <c r="AK119" i="51" s="1"/>
  <c r="AL120" i="51"/>
  <c r="AL119" i="51" s="1"/>
  <c r="AM120" i="51"/>
  <c r="AM119" i="51" s="1"/>
  <c r="AN120" i="51"/>
  <c r="AN119" i="51" s="1"/>
  <c r="AO120" i="51"/>
  <c r="AO119" i="51" s="1"/>
  <c r="AP120" i="51"/>
  <c r="AP119" i="51" s="1"/>
  <c r="AQ120" i="51"/>
  <c r="AQ119" i="51" s="1"/>
  <c r="AR120" i="51"/>
  <c r="AR119" i="51" s="1"/>
  <c r="AS120" i="51"/>
  <c r="AS119" i="51" s="1"/>
  <c r="AT120" i="51"/>
  <c r="AT119" i="51" s="1"/>
  <c r="AU120" i="51"/>
  <c r="AU119" i="51" s="1"/>
  <c r="AV120" i="51"/>
  <c r="AV119" i="51" s="1"/>
  <c r="AW120" i="51"/>
  <c r="AW119" i="51" s="1"/>
  <c r="AX120" i="51"/>
  <c r="AX119" i="51" s="1"/>
  <c r="AY120" i="51"/>
  <c r="AY119" i="51" s="1"/>
  <c r="AZ120" i="51"/>
  <c r="AZ119" i="51" s="1"/>
  <c r="BA120" i="51"/>
  <c r="BA119" i="51" s="1"/>
  <c r="BB120" i="51"/>
  <c r="BB119" i="51" s="1"/>
  <c r="BC120" i="51"/>
  <c r="BC119" i="51" s="1"/>
  <c r="BD120" i="51"/>
  <c r="BD119" i="51" s="1"/>
  <c r="BE120" i="51"/>
  <c r="BE119" i="51" s="1"/>
  <c r="BF120" i="51"/>
  <c r="BF119" i="51" s="1"/>
  <c r="BG120" i="51"/>
  <c r="BG119" i="51" s="1"/>
  <c r="BH120" i="51"/>
  <c r="BH119" i="51" s="1"/>
  <c r="BI120" i="51"/>
  <c r="BI119" i="51" s="1"/>
  <c r="BJ120" i="51"/>
  <c r="BJ119" i="51" s="1"/>
  <c r="BK120" i="51"/>
  <c r="BK119" i="51" s="1"/>
  <c r="BL120" i="51"/>
  <c r="BL119" i="51" s="1"/>
  <c r="BM120" i="51"/>
  <c r="BM119" i="51" s="1"/>
  <c r="BN120" i="51"/>
  <c r="BN119" i="51" s="1"/>
  <c r="BO120" i="51"/>
  <c r="BO119" i="51" s="1"/>
  <c r="BP120" i="51"/>
  <c r="BP119" i="51" s="1"/>
  <c r="BQ120" i="51"/>
  <c r="BQ119" i="51" s="1"/>
  <c r="BS120" i="51"/>
  <c r="BS119" i="51" s="1"/>
  <c r="BV120" i="51"/>
  <c r="BV119" i="51" s="1"/>
  <c r="BW120" i="51"/>
  <c r="BW119" i="51" s="1"/>
  <c r="BX120" i="51"/>
  <c r="BX119" i="51" s="1"/>
  <c r="BY120" i="51"/>
  <c r="BY119" i="51" s="1"/>
  <c r="BZ120" i="51"/>
  <c r="BZ119" i="51" s="1"/>
  <c r="CA120" i="51"/>
  <c r="CA119" i="51" s="1"/>
  <c r="CB120" i="51"/>
  <c r="CB119" i="51" s="1"/>
  <c r="CC120" i="51"/>
  <c r="CC119" i="51" s="1"/>
  <c r="J112" i="51"/>
  <c r="N112" i="51"/>
  <c r="V112" i="51"/>
  <c r="W112" i="51"/>
  <c r="X112" i="51"/>
  <c r="Y112" i="51"/>
  <c r="Z112" i="51"/>
  <c r="AA112" i="51"/>
  <c r="AB112" i="51"/>
  <c r="AC112" i="51"/>
  <c r="AD112" i="51"/>
  <c r="AE112" i="51"/>
  <c r="AF112" i="51"/>
  <c r="AG112" i="51"/>
  <c r="AH112" i="51"/>
  <c r="AI112" i="51"/>
  <c r="AJ112" i="51"/>
  <c r="AK112" i="51"/>
  <c r="AL112" i="51"/>
  <c r="AM112" i="51"/>
  <c r="AN112" i="51"/>
  <c r="AO112" i="51"/>
  <c r="AP112" i="51"/>
  <c r="AQ112" i="51"/>
  <c r="AR112" i="51"/>
  <c r="AS112" i="51"/>
  <c r="AT112" i="51"/>
  <c r="AU112" i="51"/>
  <c r="AV112" i="51"/>
  <c r="AW112" i="51"/>
  <c r="AX112" i="51"/>
  <c r="AY112" i="51"/>
  <c r="AZ112" i="51"/>
  <c r="BA112" i="51"/>
  <c r="BB112" i="51"/>
  <c r="BC112" i="51"/>
  <c r="BD112" i="51"/>
  <c r="BE112" i="51"/>
  <c r="BF112" i="51"/>
  <c r="BG112" i="51"/>
  <c r="BH112" i="51"/>
  <c r="BI112" i="51"/>
  <c r="BJ112" i="51"/>
  <c r="BK112" i="51"/>
  <c r="BL112" i="51"/>
  <c r="BM112" i="51"/>
  <c r="BN112" i="51"/>
  <c r="BO112" i="51"/>
  <c r="BP112" i="51"/>
  <c r="BQ112" i="51"/>
  <c r="BV112" i="51"/>
  <c r="BZ112" i="51"/>
  <c r="CA112" i="51"/>
  <c r="CB112" i="51"/>
  <c r="CC112" i="51"/>
  <c r="N106" i="51"/>
  <c r="O106" i="51"/>
  <c r="P106" i="51"/>
  <c r="Q106" i="51"/>
  <c r="R106" i="51"/>
  <c r="S106" i="51"/>
  <c r="T106" i="51"/>
  <c r="U106" i="51"/>
  <c r="V106" i="51"/>
  <c r="W106" i="51"/>
  <c r="X106" i="51"/>
  <c r="Y106" i="51"/>
  <c r="Z106" i="51"/>
  <c r="AA106" i="51"/>
  <c r="AB106" i="51"/>
  <c r="AC106" i="51"/>
  <c r="AD106" i="51"/>
  <c r="AE106" i="51"/>
  <c r="AF106" i="51"/>
  <c r="AG106" i="51"/>
  <c r="AH106" i="51"/>
  <c r="AI106" i="51"/>
  <c r="AJ106" i="51"/>
  <c r="AK106" i="51"/>
  <c r="AL106" i="51"/>
  <c r="AM106" i="51"/>
  <c r="AN106" i="51"/>
  <c r="AO106" i="51"/>
  <c r="AP106" i="51"/>
  <c r="AQ106" i="51"/>
  <c r="AR106" i="51"/>
  <c r="AS106" i="51"/>
  <c r="AT106" i="51"/>
  <c r="AU106" i="51"/>
  <c r="AV106" i="51"/>
  <c r="AW106" i="51"/>
  <c r="AX106" i="51"/>
  <c r="AY106" i="51"/>
  <c r="AZ106" i="51"/>
  <c r="BA106" i="51"/>
  <c r="BB106" i="51"/>
  <c r="BC106" i="51"/>
  <c r="BD106" i="51"/>
  <c r="BE106" i="51"/>
  <c r="BF106" i="51"/>
  <c r="BG106" i="51"/>
  <c r="BH106" i="51"/>
  <c r="BI106" i="51"/>
  <c r="BJ106" i="51"/>
  <c r="BK106" i="51"/>
  <c r="BL106" i="51"/>
  <c r="BM106" i="51"/>
  <c r="BN106" i="51"/>
  <c r="BO106" i="51"/>
  <c r="BP106" i="51"/>
  <c r="BQ106" i="51"/>
  <c r="BR106" i="51"/>
  <c r="BV106" i="51"/>
  <c r="BZ106" i="51"/>
  <c r="CA106" i="51"/>
  <c r="CB106" i="51"/>
  <c r="CC106" i="51"/>
  <c r="N98" i="51"/>
  <c r="O98" i="51"/>
  <c r="P98" i="51"/>
  <c r="Q98" i="51"/>
  <c r="R98" i="51"/>
  <c r="S98" i="51"/>
  <c r="T98" i="51"/>
  <c r="U98" i="51"/>
  <c r="V98" i="51"/>
  <c r="W98" i="51"/>
  <c r="X98" i="51"/>
  <c r="Y98" i="51"/>
  <c r="Z98" i="51"/>
  <c r="AA98" i="51"/>
  <c r="AB98" i="51"/>
  <c r="AC98" i="51"/>
  <c r="AD98" i="51"/>
  <c r="AE98" i="51"/>
  <c r="AF98" i="51"/>
  <c r="AG98" i="51"/>
  <c r="AH98" i="51"/>
  <c r="AI98" i="51"/>
  <c r="AJ98" i="51"/>
  <c r="AK98" i="51"/>
  <c r="AL98" i="51"/>
  <c r="AM98" i="51"/>
  <c r="AN98" i="51"/>
  <c r="AO98" i="51"/>
  <c r="AP98" i="51"/>
  <c r="AQ98" i="51"/>
  <c r="AR98" i="51"/>
  <c r="AS98" i="51"/>
  <c r="AT98" i="51"/>
  <c r="AU98" i="51"/>
  <c r="AV98" i="51"/>
  <c r="AW98" i="51"/>
  <c r="AX98" i="51"/>
  <c r="AY98" i="51"/>
  <c r="AZ98" i="51"/>
  <c r="BA98" i="51"/>
  <c r="BB98" i="51"/>
  <c r="BC98" i="51"/>
  <c r="BD98" i="51"/>
  <c r="BE98" i="51"/>
  <c r="BF98" i="51"/>
  <c r="BG98" i="51"/>
  <c r="BH98" i="51"/>
  <c r="BI98" i="51"/>
  <c r="BJ98" i="51"/>
  <c r="BK98" i="51"/>
  <c r="BL98" i="51"/>
  <c r="BM98" i="51"/>
  <c r="BN98" i="51"/>
  <c r="BO98" i="51"/>
  <c r="BP98" i="51"/>
  <c r="BQ98" i="51"/>
  <c r="BR98" i="51"/>
  <c r="BS98" i="51"/>
  <c r="BT98" i="51"/>
  <c r="BU98" i="51"/>
  <c r="BV98" i="51"/>
  <c r="BZ98" i="51"/>
  <c r="CA98" i="51"/>
  <c r="CB98" i="51"/>
  <c r="CC98" i="51"/>
  <c r="J90" i="51"/>
  <c r="J89" i="51" s="1"/>
  <c r="N90" i="51"/>
  <c r="N89" i="51" s="1"/>
  <c r="O90" i="51"/>
  <c r="O89" i="51" s="1"/>
  <c r="P90" i="51"/>
  <c r="P89" i="51" s="1"/>
  <c r="Q90" i="51"/>
  <c r="R90" i="51"/>
  <c r="R89" i="51" s="1"/>
  <c r="S90" i="51"/>
  <c r="S89" i="51" s="1"/>
  <c r="T90" i="51"/>
  <c r="T89" i="51" s="1"/>
  <c r="U90" i="51"/>
  <c r="U89" i="51" s="1"/>
  <c r="V90" i="51"/>
  <c r="V89" i="51" s="1"/>
  <c r="W90" i="51"/>
  <c r="W89" i="51" s="1"/>
  <c r="X90" i="51"/>
  <c r="X89" i="51" s="1"/>
  <c r="Y90" i="51"/>
  <c r="Y89" i="51" s="1"/>
  <c r="Z90" i="51"/>
  <c r="Z89" i="51" s="1"/>
  <c r="AA90" i="51"/>
  <c r="AA89" i="51" s="1"/>
  <c r="AB90" i="51"/>
  <c r="AB89" i="51" s="1"/>
  <c r="AC90" i="51"/>
  <c r="AC89" i="51" s="1"/>
  <c r="AD90" i="51"/>
  <c r="AD89" i="51" s="1"/>
  <c r="AE90" i="51"/>
  <c r="AE89" i="51" s="1"/>
  <c r="AF90" i="51"/>
  <c r="AF89" i="51" s="1"/>
  <c r="AG90" i="51"/>
  <c r="AG89" i="51" s="1"/>
  <c r="AH90" i="51"/>
  <c r="AH89" i="51" s="1"/>
  <c r="AI90" i="51"/>
  <c r="AI89" i="51" s="1"/>
  <c r="AJ90" i="51"/>
  <c r="AJ89" i="51" s="1"/>
  <c r="AK90" i="51"/>
  <c r="AK89" i="51" s="1"/>
  <c r="AL90" i="51"/>
  <c r="AL89" i="51" s="1"/>
  <c r="AM90" i="51"/>
  <c r="AM89" i="51" s="1"/>
  <c r="AN90" i="51"/>
  <c r="AN89" i="51" s="1"/>
  <c r="AO90" i="51"/>
  <c r="AO89" i="51" s="1"/>
  <c r="AP90" i="51"/>
  <c r="AP89" i="51" s="1"/>
  <c r="AQ90" i="51"/>
  <c r="AQ89" i="51" s="1"/>
  <c r="AR90" i="51"/>
  <c r="AR89" i="51" s="1"/>
  <c r="AS90" i="51"/>
  <c r="AS89" i="51" s="1"/>
  <c r="AT90" i="51"/>
  <c r="AT89" i="51" s="1"/>
  <c r="AU90" i="51"/>
  <c r="AU89" i="51" s="1"/>
  <c r="AV90" i="51"/>
  <c r="AV89" i="51" s="1"/>
  <c r="AW90" i="51"/>
  <c r="AW89" i="51" s="1"/>
  <c r="AX90" i="51"/>
  <c r="AX89" i="51" s="1"/>
  <c r="AY90" i="51"/>
  <c r="AY89" i="51" s="1"/>
  <c r="AZ90" i="51"/>
  <c r="AZ89" i="51" s="1"/>
  <c r="BA90" i="51"/>
  <c r="BA89" i="51" s="1"/>
  <c r="BB90" i="51"/>
  <c r="BB89" i="51" s="1"/>
  <c r="BC90" i="51"/>
  <c r="BC89" i="51" s="1"/>
  <c r="BD90" i="51"/>
  <c r="BD89" i="51" s="1"/>
  <c r="BE90" i="51"/>
  <c r="BE89" i="51" s="1"/>
  <c r="BF90" i="51"/>
  <c r="BF89" i="51" s="1"/>
  <c r="BG90" i="51"/>
  <c r="BG89" i="51" s="1"/>
  <c r="BH90" i="51"/>
  <c r="BH89" i="51" s="1"/>
  <c r="BI90" i="51"/>
  <c r="BI89" i="51" s="1"/>
  <c r="BJ90" i="51"/>
  <c r="BJ89" i="51" s="1"/>
  <c r="BK90" i="51"/>
  <c r="BK89" i="51" s="1"/>
  <c r="BL90" i="51"/>
  <c r="BL89" i="51" s="1"/>
  <c r="BM90" i="51"/>
  <c r="BM89" i="51" s="1"/>
  <c r="BN90" i="51"/>
  <c r="BN89" i="51" s="1"/>
  <c r="BO90" i="51"/>
  <c r="BO89" i="51" s="1"/>
  <c r="BP90" i="51"/>
  <c r="BP89" i="51" s="1"/>
  <c r="BQ90" i="51"/>
  <c r="BQ89" i="51" s="1"/>
  <c r="BR90" i="51"/>
  <c r="BR89" i="51" s="1"/>
  <c r="BS90" i="51"/>
  <c r="BS89" i="51" s="1"/>
  <c r="BT90" i="51"/>
  <c r="BT89" i="51" s="1"/>
  <c r="BU90" i="51"/>
  <c r="BU89" i="51" s="1"/>
  <c r="BV90" i="51"/>
  <c r="BV89" i="51" s="1"/>
  <c r="BZ90" i="51"/>
  <c r="BZ89" i="51" s="1"/>
  <c r="CA90" i="51"/>
  <c r="CA89" i="51" s="1"/>
  <c r="CB90" i="51"/>
  <c r="CB89" i="51" s="1"/>
  <c r="CC90" i="51"/>
  <c r="CC89" i="51" s="1"/>
  <c r="Q89" i="51"/>
  <c r="N77" i="51"/>
  <c r="N76" i="51" s="1"/>
  <c r="O77" i="51"/>
  <c r="O76" i="51" s="1"/>
  <c r="P77" i="51"/>
  <c r="P76" i="51" s="1"/>
  <c r="Q77" i="51"/>
  <c r="Q76" i="51" s="1"/>
  <c r="R77" i="51"/>
  <c r="R76" i="51" s="1"/>
  <c r="S77" i="51"/>
  <c r="S76" i="51" s="1"/>
  <c r="T77" i="51"/>
  <c r="T76" i="51" s="1"/>
  <c r="U77" i="51"/>
  <c r="U76" i="51" s="1"/>
  <c r="V77" i="51"/>
  <c r="V76" i="51" s="1"/>
  <c r="W77" i="51"/>
  <c r="W76" i="51" s="1"/>
  <c r="X77" i="51"/>
  <c r="X76" i="51" s="1"/>
  <c r="Y77" i="51"/>
  <c r="Y76" i="51" s="1"/>
  <c r="Z77" i="51"/>
  <c r="Z76" i="51" s="1"/>
  <c r="AA77" i="51"/>
  <c r="AA76" i="51" s="1"/>
  <c r="AB77" i="51"/>
  <c r="AB76" i="51" s="1"/>
  <c r="AC77" i="51"/>
  <c r="AC76" i="51" s="1"/>
  <c r="AD77" i="51"/>
  <c r="AD76" i="51" s="1"/>
  <c r="AF77" i="51"/>
  <c r="AF76" i="51" s="1"/>
  <c r="AH77" i="51"/>
  <c r="AH76" i="51" s="1"/>
  <c r="AI77" i="51"/>
  <c r="AI76" i="51" s="1"/>
  <c r="AJ77" i="51"/>
  <c r="AJ76" i="51" s="1"/>
  <c r="AK77" i="51"/>
  <c r="AK76" i="51" s="1"/>
  <c r="AL77" i="51"/>
  <c r="AL76" i="51" s="1"/>
  <c r="AM77" i="51"/>
  <c r="AM76" i="51" s="1"/>
  <c r="AN77" i="51"/>
  <c r="AN76" i="51" s="1"/>
  <c r="AO77" i="51"/>
  <c r="AO76" i="51" s="1"/>
  <c r="AP77" i="51"/>
  <c r="AP76" i="51" s="1"/>
  <c r="AQ77" i="51"/>
  <c r="AQ76" i="51" s="1"/>
  <c r="AR77" i="51"/>
  <c r="AR76" i="51" s="1"/>
  <c r="AS77" i="51"/>
  <c r="AS76" i="51" s="1"/>
  <c r="AT77" i="51"/>
  <c r="AT76" i="51" s="1"/>
  <c r="AU77" i="51"/>
  <c r="AU76" i="51" s="1"/>
  <c r="AV77" i="51"/>
  <c r="AV76" i="51" s="1"/>
  <c r="AW77" i="51"/>
  <c r="AW76" i="51" s="1"/>
  <c r="AX77" i="51"/>
  <c r="AX76" i="51" s="1"/>
  <c r="AY77" i="51"/>
  <c r="AY76" i="51" s="1"/>
  <c r="AZ77" i="51"/>
  <c r="AZ76" i="51" s="1"/>
  <c r="BA77" i="51"/>
  <c r="BA76" i="51" s="1"/>
  <c r="BB77" i="51"/>
  <c r="BB76" i="51" s="1"/>
  <c r="BC77" i="51"/>
  <c r="BC76" i="51" s="1"/>
  <c r="BD77" i="51"/>
  <c r="BD76" i="51" s="1"/>
  <c r="BE77" i="51"/>
  <c r="BE76" i="51" s="1"/>
  <c r="BF77" i="51"/>
  <c r="BF76" i="51" s="1"/>
  <c r="BG77" i="51"/>
  <c r="BG76" i="51" s="1"/>
  <c r="BH77" i="51"/>
  <c r="BH76" i="51" s="1"/>
  <c r="BI77" i="51"/>
  <c r="BI76" i="51" s="1"/>
  <c r="BJ77" i="51"/>
  <c r="BJ76" i="51" s="1"/>
  <c r="BK77" i="51"/>
  <c r="BK76" i="51" s="1"/>
  <c r="BL77" i="51"/>
  <c r="BL76" i="51" s="1"/>
  <c r="BM77" i="51"/>
  <c r="BM76" i="51" s="1"/>
  <c r="BN77" i="51"/>
  <c r="BN76" i="51" s="1"/>
  <c r="BR77" i="51"/>
  <c r="BR76" i="51" s="1"/>
  <c r="BV77" i="51"/>
  <c r="BV76" i="51" s="1"/>
  <c r="BZ77" i="51"/>
  <c r="BZ76" i="51" s="1"/>
  <c r="CA77" i="51"/>
  <c r="CA76" i="51" s="1"/>
  <c r="CB77" i="51"/>
  <c r="CB76" i="51" s="1"/>
  <c r="CC77" i="51"/>
  <c r="CC76" i="51" s="1"/>
  <c r="J70" i="51"/>
  <c r="J69" i="51" s="1"/>
  <c r="K70" i="51"/>
  <c r="K69" i="51" s="1"/>
  <c r="L70" i="51"/>
  <c r="L69" i="51" s="1"/>
  <c r="M70" i="51"/>
  <c r="M69" i="51" s="1"/>
  <c r="N70" i="51"/>
  <c r="N69" i="51" s="1"/>
  <c r="O70" i="51"/>
  <c r="O69" i="51" s="1"/>
  <c r="P70" i="51"/>
  <c r="P69" i="51" s="1"/>
  <c r="Q70" i="51"/>
  <c r="Q69" i="51" s="1"/>
  <c r="R70" i="51"/>
  <c r="R69" i="51" s="1"/>
  <c r="V70" i="51"/>
  <c r="V69" i="51" s="1"/>
  <c r="W70" i="51"/>
  <c r="W69" i="51" s="1"/>
  <c r="X70" i="51"/>
  <c r="X69" i="51" s="1"/>
  <c r="Y70" i="51"/>
  <c r="Y69" i="51" s="1"/>
  <c r="Z70" i="51"/>
  <c r="Z69" i="51" s="1"/>
  <c r="AA70" i="51"/>
  <c r="AA69" i="51" s="1"/>
  <c r="AB70" i="51"/>
  <c r="AB69" i="51" s="1"/>
  <c r="AC70" i="51"/>
  <c r="AC69" i="51" s="1"/>
  <c r="AD70" i="51"/>
  <c r="AD69" i="51" s="1"/>
  <c r="AE70" i="51"/>
  <c r="AE69" i="51" s="1"/>
  <c r="AF70" i="51"/>
  <c r="AF69" i="51" s="1"/>
  <c r="AG70" i="51"/>
  <c r="AG69" i="51" s="1"/>
  <c r="AH70" i="51"/>
  <c r="AH69" i="51" s="1"/>
  <c r="AI70" i="51"/>
  <c r="AI69" i="51" s="1"/>
  <c r="AJ70" i="51"/>
  <c r="AJ69" i="51" s="1"/>
  <c r="AK70" i="51"/>
  <c r="AK69" i="51" s="1"/>
  <c r="AL70" i="51"/>
  <c r="AL69" i="51" s="1"/>
  <c r="AM70" i="51"/>
  <c r="AM69" i="51" s="1"/>
  <c r="AN70" i="51"/>
  <c r="AO70" i="51"/>
  <c r="AO69" i="51" s="1"/>
  <c r="AP70" i="51"/>
  <c r="AP69" i="51" s="1"/>
  <c r="AQ70" i="51"/>
  <c r="AQ69" i="51" s="1"/>
  <c r="AR70" i="51"/>
  <c r="AR69" i="51" s="1"/>
  <c r="AS70" i="51"/>
  <c r="AS69" i="51" s="1"/>
  <c r="AT70" i="51"/>
  <c r="AT69" i="51" s="1"/>
  <c r="AU70" i="51"/>
  <c r="AU69" i="51" s="1"/>
  <c r="AV70" i="51"/>
  <c r="AV69" i="51" s="1"/>
  <c r="AW70" i="51"/>
  <c r="AW69" i="51" s="1"/>
  <c r="AX70" i="51"/>
  <c r="AX69" i="51" s="1"/>
  <c r="AY70" i="51"/>
  <c r="AY69" i="51" s="1"/>
  <c r="AZ70" i="51"/>
  <c r="AZ69" i="51" s="1"/>
  <c r="BA70" i="51"/>
  <c r="BA69" i="51" s="1"/>
  <c r="BB70" i="51"/>
  <c r="BB69" i="51" s="1"/>
  <c r="BC70" i="51"/>
  <c r="BC69" i="51" s="1"/>
  <c r="BD70" i="51"/>
  <c r="BD69" i="51" s="1"/>
  <c r="BE70" i="51"/>
  <c r="BE69" i="51" s="1"/>
  <c r="BF70" i="51"/>
  <c r="BF69" i="51" s="1"/>
  <c r="BG70" i="51"/>
  <c r="BG69" i="51" s="1"/>
  <c r="BH70" i="51"/>
  <c r="BH69" i="51" s="1"/>
  <c r="BI70" i="51"/>
  <c r="BI69" i="51" s="1"/>
  <c r="BJ70" i="51"/>
  <c r="BJ69" i="51" s="1"/>
  <c r="BK70" i="51"/>
  <c r="BK69" i="51" s="1"/>
  <c r="BL70" i="51"/>
  <c r="BL69" i="51" s="1"/>
  <c r="BM70" i="51"/>
  <c r="BM69" i="51" s="1"/>
  <c r="BN70" i="51"/>
  <c r="BN69" i="51" s="1"/>
  <c r="BO70" i="51"/>
  <c r="BO69" i="51" s="1"/>
  <c r="BP70" i="51"/>
  <c r="BP69" i="51" s="1"/>
  <c r="BQ70" i="51"/>
  <c r="BQ69" i="51" s="1"/>
  <c r="BR70" i="51"/>
  <c r="BR69" i="51" s="1"/>
  <c r="BS70" i="51"/>
  <c r="BS69" i="51" s="1"/>
  <c r="BT70" i="51"/>
  <c r="BT69" i="51" s="1"/>
  <c r="BU70" i="51"/>
  <c r="BU69" i="51" s="1"/>
  <c r="BZ70" i="51"/>
  <c r="BZ69" i="51" s="1"/>
  <c r="CA70" i="51"/>
  <c r="CA69" i="51" s="1"/>
  <c r="CB70" i="51"/>
  <c r="CB69" i="51" s="1"/>
  <c r="CC70" i="51"/>
  <c r="CC69" i="51" s="1"/>
  <c r="AN69" i="51"/>
  <c r="N61" i="51"/>
  <c r="N60" i="51" s="1"/>
  <c r="O61" i="51"/>
  <c r="O60" i="51" s="1"/>
  <c r="P61" i="51"/>
  <c r="P60" i="51" s="1"/>
  <c r="Q61" i="51"/>
  <c r="Q60" i="51" s="1"/>
  <c r="R61" i="51"/>
  <c r="R60" i="51" s="1"/>
  <c r="S61" i="51"/>
  <c r="S60" i="51" s="1"/>
  <c r="T61" i="51"/>
  <c r="T60" i="51" s="1"/>
  <c r="U61" i="51"/>
  <c r="U60" i="51" s="1"/>
  <c r="V61" i="51"/>
  <c r="V60" i="51" s="1"/>
  <c r="W61" i="51"/>
  <c r="W60" i="51" s="1"/>
  <c r="X61" i="51"/>
  <c r="X60" i="51" s="1"/>
  <c r="Y61" i="51"/>
  <c r="Y60" i="51" s="1"/>
  <c r="Z61" i="51"/>
  <c r="Z60" i="51" s="1"/>
  <c r="AA61" i="51"/>
  <c r="AA60" i="51" s="1"/>
  <c r="AB61" i="51"/>
  <c r="AB60" i="51" s="1"/>
  <c r="AC61" i="51"/>
  <c r="AC60" i="51" s="1"/>
  <c r="AD61" i="51"/>
  <c r="AD60" i="51" s="1"/>
  <c r="AE61" i="51"/>
  <c r="AE60" i="51" s="1"/>
  <c r="AF61" i="51"/>
  <c r="AF60" i="51" s="1"/>
  <c r="AG61" i="51"/>
  <c r="AG60" i="51" s="1"/>
  <c r="AH61" i="51"/>
  <c r="AH60" i="51" s="1"/>
  <c r="AI61" i="51"/>
  <c r="AI60" i="51" s="1"/>
  <c r="AJ61" i="51"/>
  <c r="AJ60" i="51" s="1"/>
  <c r="AK61" i="51"/>
  <c r="AK60" i="51" s="1"/>
  <c r="AL61" i="51"/>
  <c r="AL60" i="51" s="1"/>
  <c r="AM61" i="51"/>
  <c r="AM60" i="51" s="1"/>
  <c r="AN61" i="51"/>
  <c r="AN60" i="51" s="1"/>
  <c r="AO61" i="51"/>
  <c r="AO60" i="51" s="1"/>
  <c r="AP61" i="51"/>
  <c r="AP60" i="51" s="1"/>
  <c r="AQ61" i="51"/>
  <c r="AQ60" i="51" s="1"/>
  <c r="AR61" i="51"/>
  <c r="AR60" i="51" s="1"/>
  <c r="AS61" i="51"/>
  <c r="AS60" i="51" s="1"/>
  <c r="AT61" i="51"/>
  <c r="AT60" i="51" s="1"/>
  <c r="AU61" i="51"/>
  <c r="AU60" i="51" s="1"/>
  <c r="AV61" i="51"/>
  <c r="AV60" i="51" s="1"/>
  <c r="AW61" i="51"/>
  <c r="AW60" i="51" s="1"/>
  <c r="AX61" i="51"/>
  <c r="AX60" i="51" s="1"/>
  <c r="AY61" i="51"/>
  <c r="AY60" i="51" s="1"/>
  <c r="AZ61" i="51"/>
  <c r="AZ60" i="51" s="1"/>
  <c r="BA61" i="51"/>
  <c r="BA60" i="51" s="1"/>
  <c r="BB61" i="51"/>
  <c r="BB60" i="51" s="1"/>
  <c r="BC61" i="51"/>
  <c r="BC60" i="51" s="1"/>
  <c r="BD61" i="51"/>
  <c r="BD60" i="51" s="1"/>
  <c r="BE61" i="51"/>
  <c r="BE60" i="51" s="1"/>
  <c r="BF61" i="51"/>
  <c r="BF60" i="51" s="1"/>
  <c r="BG61" i="51"/>
  <c r="BG60" i="51" s="1"/>
  <c r="BH61" i="51"/>
  <c r="BH60" i="51" s="1"/>
  <c r="BI61" i="51"/>
  <c r="BI60" i="51" s="1"/>
  <c r="BJ61" i="51"/>
  <c r="BJ60" i="51" s="1"/>
  <c r="BK61" i="51"/>
  <c r="BK60" i="51" s="1"/>
  <c r="BL61" i="51"/>
  <c r="BL60" i="51" s="1"/>
  <c r="BM61" i="51"/>
  <c r="BM60" i="51" s="1"/>
  <c r="BN61" i="51"/>
  <c r="BN60" i="51" s="1"/>
  <c r="BO61" i="51"/>
  <c r="BO60" i="51" s="1"/>
  <c r="BP61" i="51"/>
  <c r="BP60" i="51" s="1"/>
  <c r="BQ61" i="51"/>
  <c r="BQ60" i="51" s="1"/>
  <c r="BR61" i="51"/>
  <c r="BR60" i="51" s="1"/>
  <c r="BV61" i="51"/>
  <c r="BV60" i="51" s="1"/>
  <c r="BW61" i="51"/>
  <c r="BW60" i="51" s="1"/>
  <c r="BX61" i="51"/>
  <c r="BX60" i="51" s="1"/>
  <c r="BY61" i="51"/>
  <c r="BY60" i="51" s="1"/>
  <c r="BZ61" i="51"/>
  <c r="BZ60" i="51" s="1"/>
  <c r="J51" i="51"/>
  <c r="J50" i="51" s="1"/>
  <c r="N51" i="51"/>
  <c r="N50" i="51" s="1"/>
  <c r="R51" i="51"/>
  <c r="R50" i="51" s="1"/>
  <c r="S51" i="51"/>
  <c r="S50" i="51" s="1"/>
  <c r="T51" i="51"/>
  <c r="T50" i="51" s="1"/>
  <c r="U51" i="51"/>
  <c r="U50" i="51" s="1"/>
  <c r="V51" i="51"/>
  <c r="V50" i="51" s="1"/>
  <c r="W51" i="51"/>
  <c r="W50" i="51" s="1"/>
  <c r="X51" i="51"/>
  <c r="X50" i="51" s="1"/>
  <c r="Y51" i="51"/>
  <c r="Y50" i="51" s="1"/>
  <c r="Z51" i="51"/>
  <c r="Z50" i="51" s="1"/>
  <c r="AA51" i="51"/>
  <c r="AA50" i="51" s="1"/>
  <c r="AB51" i="51"/>
  <c r="AB50" i="51" s="1"/>
  <c r="AC51" i="51"/>
  <c r="AC50" i="51" s="1"/>
  <c r="AD51" i="51"/>
  <c r="AE51" i="51"/>
  <c r="AE50" i="51" s="1"/>
  <c r="AF51" i="51"/>
  <c r="AF50" i="51" s="1"/>
  <c r="AG51" i="51"/>
  <c r="AG50" i="51" s="1"/>
  <c r="AH51" i="51"/>
  <c r="AH50" i="51" s="1"/>
  <c r="AI51" i="51"/>
  <c r="AI50" i="51" s="1"/>
  <c r="AJ51" i="51"/>
  <c r="AJ50" i="51" s="1"/>
  <c r="AK51" i="51"/>
  <c r="AK50" i="51" s="1"/>
  <c r="AL51" i="51"/>
  <c r="AL50" i="51" s="1"/>
  <c r="AM51" i="51"/>
  <c r="AM50" i="51" s="1"/>
  <c r="AN51" i="51"/>
  <c r="AN50" i="51" s="1"/>
  <c r="AO51" i="51"/>
  <c r="AO50" i="51" s="1"/>
  <c r="AP51" i="51"/>
  <c r="AP50" i="51" s="1"/>
  <c r="AQ51" i="51"/>
  <c r="AQ50" i="51" s="1"/>
  <c r="AR51" i="51"/>
  <c r="AR50" i="51" s="1"/>
  <c r="AS51" i="51"/>
  <c r="AS50" i="51" s="1"/>
  <c r="AT51" i="51"/>
  <c r="AT50" i="51" s="1"/>
  <c r="AU51" i="51"/>
  <c r="AU50" i="51" s="1"/>
  <c r="AV51" i="51"/>
  <c r="AV50" i="51" s="1"/>
  <c r="AW51" i="51"/>
  <c r="AW50" i="51" s="1"/>
  <c r="AX51" i="51"/>
  <c r="AX50" i="51" s="1"/>
  <c r="AY51" i="51"/>
  <c r="AY50" i="51" s="1"/>
  <c r="AZ51" i="51"/>
  <c r="AZ50" i="51" s="1"/>
  <c r="BA51" i="51"/>
  <c r="BA50" i="51" s="1"/>
  <c r="BB51" i="51"/>
  <c r="BB50" i="51" s="1"/>
  <c r="BC51" i="51"/>
  <c r="BC50" i="51" s="1"/>
  <c r="BD51" i="51"/>
  <c r="BD50" i="51" s="1"/>
  <c r="BE51" i="51"/>
  <c r="BE50" i="51" s="1"/>
  <c r="BF51" i="51"/>
  <c r="BF50" i="51" s="1"/>
  <c r="BG51" i="51"/>
  <c r="BG50" i="51" s="1"/>
  <c r="BH51" i="51"/>
  <c r="BH50" i="51" s="1"/>
  <c r="BI51" i="51"/>
  <c r="BI50" i="51" s="1"/>
  <c r="BJ51" i="51"/>
  <c r="BJ50" i="51" s="1"/>
  <c r="BK51" i="51"/>
  <c r="BK50" i="51" s="1"/>
  <c r="BL51" i="51"/>
  <c r="BL50" i="51" s="1"/>
  <c r="BM51" i="51"/>
  <c r="BM50" i="51" s="1"/>
  <c r="BN51" i="51"/>
  <c r="BN50" i="51" s="1"/>
  <c r="BO51" i="51"/>
  <c r="BO50" i="51" s="1"/>
  <c r="BP51" i="51"/>
  <c r="BP50" i="51" s="1"/>
  <c r="BQ51" i="51"/>
  <c r="BQ50" i="51" s="1"/>
  <c r="BV51" i="51"/>
  <c r="BZ51" i="51"/>
  <c r="BZ50" i="51" s="1"/>
  <c r="CA51" i="51"/>
  <c r="CA50" i="51" s="1"/>
  <c r="CB51" i="51"/>
  <c r="CB50" i="51" s="1"/>
  <c r="CC51" i="51"/>
  <c r="CC50" i="51" s="1"/>
  <c r="AD50" i="51"/>
  <c r="J43" i="51"/>
  <c r="N43" i="51"/>
  <c r="O43" i="51"/>
  <c r="P43" i="51"/>
  <c r="Q43" i="51"/>
  <c r="R43" i="51"/>
  <c r="S43" i="51"/>
  <c r="T43" i="51"/>
  <c r="U43" i="51"/>
  <c r="V43" i="51"/>
  <c r="W43" i="51"/>
  <c r="X43" i="51"/>
  <c r="Y43" i="51"/>
  <c r="Z43" i="51"/>
  <c r="AA43" i="51"/>
  <c r="AB43" i="51"/>
  <c r="AC43" i="51"/>
  <c r="AD43" i="51"/>
  <c r="AE43" i="51"/>
  <c r="AF43" i="51"/>
  <c r="AG43" i="51"/>
  <c r="AH43" i="51"/>
  <c r="AI43" i="51"/>
  <c r="AJ43" i="51"/>
  <c r="AK43" i="51"/>
  <c r="AL43" i="51"/>
  <c r="AM43" i="51"/>
  <c r="AN43" i="51"/>
  <c r="AO43" i="51"/>
  <c r="AP43" i="51"/>
  <c r="AS43" i="51"/>
  <c r="AT43" i="51"/>
  <c r="AU43" i="51"/>
  <c r="AV43" i="51"/>
  <c r="AW43" i="51"/>
  <c r="AX43" i="51"/>
  <c r="AY43" i="51"/>
  <c r="AZ43" i="51"/>
  <c r="BA43" i="51"/>
  <c r="BB43" i="51"/>
  <c r="BC43" i="51"/>
  <c r="BD43" i="51"/>
  <c r="BE43" i="51"/>
  <c r="BF43" i="51"/>
  <c r="BG43" i="51"/>
  <c r="BH43" i="51"/>
  <c r="BI43" i="51"/>
  <c r="BJ43" i="51"/>
  <c r="BK43" i="51"/>
  <c r="BL43" i="51"/>
  <c r="BM43" i="51"/>
  <c r="BN43" i="51"/>
  <c r="BO43" i="51"/>
  <c r="BP43" i="51"/>
  <c r="BQ43" i="51"/>
  <c r="BR43" i="51"/>
  <c r="BS43" i="51"/>
  <c r="BT43" i="51"/>
  <c r="BU43" i="51"/>
  <c r="BZ43" i="51"/>
  <c r="CA43" i="51"/>
  <c r="CB43" i="51"/>
  <c r="CC43" i="51"/>
  <c r="N34" i="51"/>
  <c r="O34" i="51"/>
  <c r="O33" i="51" s="1"/>
  <c r="P34" i="51"/>
  <c r="Q34" i="51"/>
  <c r="Q33" i="51" s="1"/>
  <c r="R34" i="51"/>
  <c r="S34" i="51"/>
  <c r="T34" i="51"/>
  <c r="U34" i="51"/>
  <c r="V34" i="51"/>
  <c r="W34" i="51"/>
  <c r="W33" i="51" s="1"/>
  <c r="X34" i="51"/>
  <c r="Y34" i="51"/>
  <c r="Y33" i="51" s="1"/>
  <c r="Z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J34" i="51"/>
  <c r="BL34" i="51"/>
  <c r="BN34" i="51"/>
  <c r="BO34" i="51"/>
  <c r="BO33" i="51" s="1"/>
  <c r="BP34" i="51"/>
  <c r="BQ34" i="51"/>
  <c r="BR34" i="51"/>
  <c r="BS34" i="51"/>
  <c r="BS33" i="51" s="1"/>
  <c r="BT34" i="51"/>
  <c r="BT33" i="51" s="1"/>
  <c r="BU34" i="51"/>
  <c r="BU33" i="51" s="1"/>
  <c r="BZ34" i="51"/>
  <c r="CA34" i="51"/>
  <c r="CB34" i="51"/>
  <c r="CC34" i="51"/>
  <c r="CC33" i="51" s="1"/>
  <c r="J29" i="51"/>
  <c r="K29" i="51"/>
  <c r="L29" i="51"/>
  <c r="M29" i="51"/>
  <c r="N29" i="51"/>
  <c r="N28" i="51" s="1"/>
  <c r="O29" i="51"/>
  <c r="O28" i="51" s="1"/>
  <c r="P29" i="51"/>
  <c r="P28" i="51" s="1"/>
  <c r="Q29" i="51"/>
  <c r="Q28" i="51" s="1"/>
  <c r="R29" i="51"/>
  <c r="R28" i="51" s="1"/>
  <c r="S29" i="51"/>
  <c r="S28" i="51" s="1"/>
  <c r="T29" i="51"/>
  <c r="T28" i="51" s="1"/>
  <c r="U29" i="51"/>
  <c r="U28" i="51" s="1"/>
  <c r="V29" i="51"/>
  <c r="V28" i="51" s="1"/>
  <c r="W29" i="51"/>
  <c r="W28" i="51" s="1"/>
  <c r="X29" i="51"/>
  <c r="X28" i="51" s="1"/>
  <c r="Y29" i="51"/>
  <c r="Y28" i="51" s="1"/>
  <c r="Z29" i="51"/>
  <c r="Z28" i="51" s="1"/>
  <c r="AA29" i="51"/>
  <c r="AA28" i="51" s="1"/>
  <c r="AB29" i="51"/>
  <c r="AB28" i="51" s="1"/>
  <c r="AC29" i="51"/>
  <c r="AC28" i="51" s="1"/>
  <c r="AD29" i="51"/>
  <c r="AD28" i="51" s="1"/>
  <c r="AE29" i="51"/>
  <c r="AE28" i="51" s="1"/>
  <c r="AF29" i="51"/>
  <c r="AF28" i="51" s="1"/>
  <c r="AG29" i="51"/>
  <c r="AG28" i="51" s="1"/>
  <c r="AH29" i="51"/>
  <c r="AH28" i="51" s="1"/>
  <c r="AI29" i="51"/>
  <c r="AI28" i="51" s="1"/>
  <c r="AJ29" i="51"/>
  <c r="AJ28" i="51" s="1"/>
  <c r="AK29" i="51"/>
  <c r="AK28" i="51" s="1"/>
  <c r="AL29" i="51"/>
  <c r="AL28" i="51" s="1"/>
  <c r="AM29" i="51"/>
  <c r="AM28" i="51" s="1"/>
  <c r="AN29" i="51"/>
  <c r="AN28" i="51" s="1"/>
  <c r="AO29" i="51"/>
  <c r="AO28" i="51" s="1"/>
  <c r="AP29" i="51"/>
  <c r="AP28" i="51" s="1"/>
  <c r="AQ29" i="51"/>
  <c r="AQ28" i="51" s="1"/>
  <c r="AR29" i="51"/>
  <c r="AR28" i="51" s="1"/>
  <c r="AS29" i="51"/>
  <c r="AS28" i="51" s="1"/>
  <c r="AT29" i="51"/>
  <c r="AT28" i="51" s="1"/>
  <c r="AU29" i="51"/>
  <c r="AU28" i="51" s="1"/>
  <c r="AV29" i="51"/>
  <c r="AV28" i="51" s="1"/>
  <c r="AW29" i="51"/>
  <c r="AW28" i="51" s="1"/>
  <c r="AX29" i="51"/>
  <c r="AX28" i="51" s="1"/>
  <c r="AY29" i="51"/>
  <c r="AY28" i="51" s="1"/>
  <c r="AZ29" i="51"/>
  <c r="AZ28" i="51" s="1"/>
  <c r="BA29" i="51"/>
  <c r="BA28" i="51" s="1"/>
  <c r="BB29" i="51"/>
  <c r="BB28" i="51" s="1"/>
  <c r="BC29" i="51"/>
  <c r="BC28" i="51" s="1"/>
  <c r="BD29" i="51"/>
  <c r="BD28" i="51" s="1"/>
  <c r="BE29" i="51"/>
  <c r="BE28" i="51" s="1"/>
  <c r="BF29" i="51"/>
  <c r="BF28" i="51" s="1"/>
  <c r="BG29" i="51"/>
  <c r="BG28" i="51" s="1"/>
  <c r="BH29" i="51"/>
  <c r="BH28" i="51" s="1"/>
  <c r="BI29" i="51"/>
  <c r="BI28" i="51" s="1"/>
  <c r="BJ29" i="51"/>
  <c r="BJ28" i="51" s="1"/>
  <c r="BK29" i="51"/>
  <c r="BK28" i="51" s="1"/>
  <c r="BL29" i="51"/>
  <c r="BL28" i="51" s="1"/>
  <c r="BM29" i="51"/>
  <c r="BM28" i="51" s="1"/>
  <c r="BN29" i="51"/>
  <c r="BN28" i="51" s="1"/>
  <c r="BO29" i="51"/>
  <c r="BO28" i="51" s="1"/>
  <c r="BP29" i="51"/>
  <c r="BP28" i="51" s="1"/>
  <c r="BQ29" i="51"/>
  <c r="BQ28" i="51" s="1"/>
  <c r="BR29" i="51"/>
  <c r="BR28" i="51" s="1"/>
  <c r="BS29" i="51"/>
  <c r="BS28" i="51" s="1"/>
  <c r="BT29" i="51"/>
  <c r="BT28" i="51" s="1"/>
  <c r="BU29" i="51"/>
  <c r="BU28" i="51" s="1"/>
  <c r="BV29" i="51"/>
  <c r="BV28" i="51" s="1"/>
  <c r="BW29" i="51"/>
  <c r="BW28" i="51" s="1"/>
  <c r="BX29" i="51"/>
  <c r="BX28" i="51" s="1"/>
  <c r="BY29" i="51"/>
  <c r="BY28" i="51" s="1"/>
  <c r="BZ29" i="51"/>
  <c r="BZ28" i="51" s="1"/>
  <c r="CA29" i="51"/>
  <c r="CA28" i="51" s="1"/>
  <c r="CB29" i="51"/>
  <c r="CB28" i="51" s="1"/>
  <c r="CC29" i="51"/>
  <c r="CC28" i="51" s="1"/>
  <c r="J28" i="51"/>
  <c r="J21" i="51"/>
  <c r="J20" i="51" s="1"/>
  <c r="K21" i="51"/>
  <c r="N21" i="51"/>
  <c r="N20" i="51" s="1"/>
  <c r="O21" i="51"/>
  <c r="O20" i="51" s="1"/>
  <c r="P21" i="51"/>
  <c r="P20" i="51" s="1"/>
  <c r="Q21" i="51"/>
  <c r="Q20" i="51" s="1"/>
  <c r="R21" i="51"/>
  <c r="R20" i="51" s="1"/>
  <c r="S21" i="51"/>
  <c r="S20" i="51" s="1"/>
  <c r="T21" i="51"/>
  <c r="T20" i="51" s="1"/>
  <c r="U21" i="51"/>
  <c r="U20" i="51" s="1"/>
  <c r="V21" i="51"/>
  <c r="V20" i="51" s="1"/>
  <c r="W21" i="51"/>
  <c r="W20" i="51" s="1"/>
  <c r="X21" i="51"/>
  <c r="X20" i="51" s="1"/>
  <c r="Y21" i="51"/>
  <c r="Y20" i="51" s="1"/>
  <c r="Z21" i="51"/>
  <c r="Z20" i="51" s="1"/>
  <c r="AA21" i="51"/>
  <c r="AA20" i="51" s="1"/>
  <c r="AB21" i="51"/>
  <c r="AB20" i="51" s="1"/>
  <c r="AC21" i="51"/>
  <c r="AC20" i="51" s="1"/>
  <c r="AD21" i="51"/>
  <c r="AD20" i="51" s="1"/>
  <c r="AE21" i="51"/>
  <c r="AE20" i="51" s="1"/>
  <c r="AF21" i="51"/>
  <c r="AF20" i="51" s="1"/>
  <c r="AG21" i="51"/>
  <c r="AG20" i="51" s="1"/>
  <c r="AH21" i="51"/>
  <c r="AH20" i="51" s="1"/>
  <c r="AI21" i="51"/>
  <c r="AI20" i="51" s="1"/>
  <c r="AJ21" i="51"/>
  <c r="AJ20" i="51" s="1"/>
  <c r="AK21" i="51"/>
  <c r="AK20" i="51" s="1"/>
  <c r="AL21" i="51"/>
  <c r="AL20" i="51" s="1"/>
  <c r="AM21" i="51"/>
  <c r="AM20" i="51" s="1"/>
  <c r="AN21" i="51"/>
  <c r="AN20" i="51" s="1"/>
  <c r="AO21" i="51"/>
  <c r="AO20" i="51" s="1"/>
  <c r="AP21" i="51"/>
  <c r="AP20" i="51" s="1"/>
  <c r="AQ21" i="51"/>
  <c r="AQ20" i="51" s="1"/>
  <c r="AR21" i="51"/>
  <c r="AR20" i="51" s="1"/>
  <c r="AS21" i="51"/>
  <c r="AS20" i="51" s="1"/>
  <c r="AT21" i="51"/>
  <c r="AT20" i="51" s="1"/>
  <c r="AU21" i="51"/>
  <c r="AU20" i="51" s="1"/>
  <c r="AV21" i="51"/>
  <c r="AV20" i="51" s="1"/>
  <c r="AW21" i="51"/>
  <c r="AW20" i="51" s="1"/>
  <c r="AX21" i="51"/>
  <c r="AX20" i="51" s="1"/>
  <c r="AY21" i="51"/>
  <c r="AY20" i="51" s="1"/>
  <c r="AZ21" i="51"/>
  <c r="AZ20" i="51" s="1"/>
  <c r="BA21" i="51"/>
  <c r="BA20" i="51" s="1"/>
  <c r="BB21" i="51"/>
  <c r="BB20" i="51" s="1"/>
  <c r="BC21" i="51"/>
  <c r="BC20" i="51" s="1"/>
  <c r="BD21" i="51"/>
  <c r="BE21" i="51"/>
  <c r="BE20" i="51" s="1"/>
  <c r="BF21" i="51"/>
  <c r="BF20" i="51" s="1"/>
  <c r="BG21" i="51"/>
  <c r="BG20" i="51" s="1"/>
  <c r="BH21" i="51"/>
  <c r="BH20" i="51" s="1"/>
  <c r="BI21" i="51"/>
  <c r="BI20" i="51" s="1"/>
  <c r="BJ21" i="51"/>
  <c r="BJ20" i="51" s="1"/>
  <c r="BK21" i="51"/>
  <c r="BK20" i="51" s="1"/>
  <c r="BL21" i="51"/>
  <c r="BL20" i="51" s="1"/>
  <c r="BM21" i="51"/>
  <c r="BM20" i="51" s="1"/>
  <c r="BN21" i="51"/>
  <c r="BN20" i="51" s="1"/>
  <c r="BO21" i="51"/>
  <c r="BO20" i="51" s="1"/>
  <c r="BP21" i="51"/>
  <c r="BP20" i="51" s="1"/>
  <c r="BQ21" i="51"/>
  <c r="BQ20" i="51" s="1"/>
  <c r="BR21" i="51"/>
  <c r="BR20" i="51" s="1"/>
  <c r="BS21" i="51"/>
  <c r="BS20" i="51" s="1"/>
  <c r="BT21" i="51"/>
  <c r="BV21" i="51"/>
  <c r="BV20" i="51" s="1"/>
  <c r="BW21" i="51"/>
  <c r="BW20" i="51" s="1"/>
  <c r="BX21" i="51"/>
  <c r="BX20" i="51" s="1"/>
  <c r="BY21" i="51"/>
  <c r="BY20" i="51" s="1"/>
  <c r="BZ21" i="51"/>
  <c r="BZ20" i="51" s="1"/>
  <c r="CA21" i="51"/>
  <c r="CA20" i="51" s="1"/>
  <c r="CB21" i="51"/>
  <c r="CB20" i="51" s="1"/>
  <c r="CC21" i="51"/>
  <c r="CC20" i="51" s="1"/>
  <c r="BD20" i="51"/>
  <c r="L17" i="51"/>
  <c r="N17" i="51"/>
  <c r="O17" i="51"/>
  <c r="P17" i="51"/>
  <c r="Q17" i="51"/>
  <c r="R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BG17" i="51"/>
  <c r="BH17" i="51"/>
  <c r="BI17" i="51"/>
  <c r="BJ17" i="51"/>
  <c r="BK17" i="51"/>
  <c r="BL17" i="51"/>
  <c r="BM17" i="51"/>
  <c r="BN17" i="51"/>
  <c r="BO17" i="51"/>
  <c r="BP17" i="51"/>
  <c r="BQ17" i="51"/>
  <c r="BR17" i="51"/>
  <c r="BS17" i="51"/>
  <c r="BT17" i="51"/>
  <c r="BU17" i="51"/>
  <c r="BV17" i="51"/>
  <c r="BW17" i="51"/>
  <c r="BX17" i="51"/>
  <c r="BY17" i="51"/>
  <c r="BZ17" i="51"/>
  <c r="CA17" i="51"/>
  <c r="CB17" i="51"/>
  <c r="CC17" i="51"/>
  <c r="K13" i="51"/>
  <c r="L13" i="51"/>
  <c r="M13" i="51"/>
  <c r="N13" i="51"/>
  <c r="O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BG13" i="51"/>
  <c r="BH13" i="51"/>
  <c r="BI13" i="51"/>
  <c r="BJ13" i="51"/>
  <c r="BK13" i="51"/>
  <c r="BL13" i="51"/>
  <c r="BM13" i="51"/>
  <c r="BN13" i="51"/>
  <c r="BO13" i="51"/>
  <c r="BP13" i="51"/>
  <c r="BQ13" i="51"/>
  <c r="BR13" i="51"/>
  <c r="BS13" i="51"/>
  <c r="BT13" i="51"/>
  <c r="BV13" i="51"/>
  <c r="BW13" i="51"/>
  <c r="BX13" i="51"/>
  <c r="BY13" i="51"/>
  <c r="BZ13" i="51"/>
  <c r="CA13" i="51"/>
  <c r="CB13" i="51"/>
  <c r="CC13" i="51"/>
  <c r="BF6" i="51"/>
  <c r="BG6" i="51"/>
  <c r="BJ6" i="51"/>
  <c r="BK6" i="51"/>
  <c r="BL6" i="51"/>
  <c r="BM6" i="51"/>
  <c r="BV6" i="51"/>
  <c r="BX6" i="51"/>
  <c r="S33" i="51" l="1"/>
  <c r="S27" i="51" s="1"/>
  <c r="BM5" i="51"/>
  <c r="BM4" i="51" s="1"/>
  <c r="AB97" i="51"/>
  <c r="AZ59" i="51"/>
  <c r="AR59" i="51"/>
  <c r="AN59" i="51"/>
  <c r="AF59" i="51"/>
  <c r="AO33" i="51"/>
  <c r="AO27" i="51" s="1"/>
  <c r="CB97" i="51"/>
  <c r="BM97" i="51"/>
  <c r="BE97" i="51"/>
  <c r="AW97" i="51"/>
  <c r="AO97" i="51"/>
  <c r="AG97" i="51"/>
  <c r="Y97" i="51"/>
  <c r="BV97" i="51"/>
  <c r="BH97" i="51"/>
  <c r="AL97" i="51"/>
  <c r="AW33" i="51"/>
  <c r="AW27" i="51" s="1"/>
  <c r="AG33" i="51"/>
  <c r="AG27" i="51" s="1"/>
  <c r="BE59" i="51"/>
  <c r="AO59" i="51"/>
  <c r="AC75" i="51"/>
  <c r="CD21" i="51"/>
  <c r="W27" i="51"/>
  <c r="BE33" i="51"/>
  <c r="BE27" i="51" s="1"/>
  <c r="BC33" i="51"/>
  <c r="BC27" i="51" s="1"/>
  <c r="AY33" i="51"/>
  <c r="AY27" i="51" s="1"/>
  <c r="AU33" i="51"/>
  <c r="AU27" i="51" s="1"/>
  <c r="AS33" i="51"/>
  <c r="AS27" i="51" s="1"/>
  <c r="AM33" i="51"/>
  <c r="AM27" i="51" s="1"/>
  <c r="AI33" i="51"/>
  <c r="AI27" i="51" s="1"/>
  <c r="AE33" i="51"/>
  <c r="AE27" i="51" s="1"/>
  <c r="AN33" i="51"/>
  <c r="AN27" i="51" s="1"/>
  <c r="BI75" i="51"/>
  <c r="BZ33" i="51"/>
  <c r="BZ27" i="51" s="1"/>
  <c r="BR33" i="51"/>
  <c r="BP33" i="51"/>
  <c r="BP27" i="51" s="1"/>
  <c r="BN33" i="51"/>
  <c r="BN27" i="51" s="1"/>
  <c r="T33" i="51"/>
  <c r="T27" i="51" s="1"/>
  <c r="N33" i="51"/>
  <c r="N27" i="51" s="1"/>
  <c r="BL59" i="51"/>
  <c r="BY5" i="51"/>
  <c r="BJ5" i="51"/>
  <c r="BJ4" i="51" s="1"/>
  <c r="L21" i="51"/>
  <c r="L20" i="51" s="1"/>
  <c r="BL33" i="51"/>
  <c r="BL27" i="51" s="1"/>
  <c r="BD33" i="51"/>
  <c r="BD27" i="51" s="1"/>
  <c r="AZ33" i="51"/>
  <c r="BL75" i="51"/>
  <c r="AZ75" i="51"/>
  <c r="AV75" i="51"/>
  <c r="P75" i="51"/>
  <c r="AX33" i="51"/>
  <c r="AX27" i="51" s="1"/>
  <c r="AV33" i="51"/>
  <c r="AV27" i="51" s="1"/>
  <c r="AT33" i="51"/>
  <c r="AT27" i="51" s="1"/>
  <c r="AJ33" i="51"/>
  <c r="AJ27" i="51" s="1"/>
  <c r="AH33" i="51"/>
  <c r="AH27" i="51" s="1"/>
  <c r="AF33" i="51"/>
  <c r="AF27" i="51" s="1"/>
  <c r="AD33" i="51"/>
  <c r="AD27" i="51" s="1"/>
  <c r="BP97" i="51"/>
  <c r="BJ97" i="51"/>
  <c r="BB97" i="51"/>
  <c r="AZ97" i="51"/>
  <c r="AT97" i="51"/>
  <c r="AR97" i="51"/>
  <c r="AJ97" i="51"/>
  <c r="AD97" i="51"/>
  <c r="V97" i="51"/>
  <c r="N97" i="51"/>
  <c r="BL5" i="51"/>
  <c r="BL4" i="51" s="1"/>
  <c r="BF5" i="51"/>
  <c r="BW6" i="51"/>
  <c r="BW5" i="51" s="1"/>
  <c r="BV5" i="51"/>
  <c r="AZ27" i="51"/>
  <c r="CB33" i="51"/>
  <c r="CB27" i="51" s="1"/>
  <c r="BJ33" i="51"/>
  <c r="BJ27" i="51" s="1"/>
  <c r="X33" i="51"/>
  <c r="X27" i="51" s="1"/>
  <c r="R33" i="51"/>
  <c r="R27" i="51" s="1"/>
  <c r="P33" i="51"/>
  <c r="Y59" i="51"/>
  <c r="BV70" i="51"/>
  <c r="BV69" i="51" s="1"/>
  <c r="BV59" i="51" s="1"/>
  <c r="BQ59" i="51"/>
  <c r="BI59" i="51"/>
  <c r="BA59" i="51"/>
  <c r="AS59" i="51"/>
  <c r="AK59" i="51"/>
  <c r="AC59" i="51"/>
  <c r="CB75" i="51"/>
  <c r="AF75" i="51"/>
  <c r="AS75" i="51"/>
  <c r="CC97" i="51"/>
  <c r="BN97" i="51"/>
  <c r="BL97" i="51"/>
  <c r="BF97" i="51"/>
  <c r="BD97" i="51"/>
  <c r="AX97" i="51"/>
  <c r="AV97" i="51"/>
  <c r="AP97" i="51"/>
  <c r="AN97" i="51"/>
  <c r="AH97" i="51"/>
  <c r="AF97" i="51"/>
  <c r="Z97" i="51"/>
  <c r="X97" i="51"/>
  <c r="BQ97" i="51"/>
  <c r="BI97" i="51"/>
  <c r="BA97" i="51"/>
  <c r="AS97" i="51"/>
  <c r="AK97" i="51"/>
  <c r="AC97" i="51"/>
  <c r="BZ97" i="51"/>
  <c r="K20" i="51"/>
  <c r="L28" i="51"/>
  <c r="BF33" i="51"/>
  <c r="BF27" i="51" s="1"/>
  <c r="BB33" i="51"/>
  <c r="BB27" i="51" s="1"/>
  <c r="AP33" i="51"/>
  <c r="AP27" i="51" s="1"/>
  <c r="AL33" i="51"/>
  <c r="AL27" i="51" s="1"/>
  <c r="Z33" i="51"/>
  <c r="Z27" i="51" s="1"/>
  <c r="V33" i="51"/>
  <c r="V27" i="51" s="1"/>
  <c r="BD59" i="51"/>
  <c r="AV59" i="51"/>
  <c r="CD20" i="51"/>
  <c r="AD24" i="54" s="1"/>
  <c r="CD29" i="51"/>
  <c r="AD33" i="54" s="1"/>
  <c r="BX5" i="51"/>
  <c r="CC27" i="51"/>
  <c r="BO27" i="51"/>
  <c r="Y27" i="51"/>
  <c r="M28" i="51"/>
  <c r="K28" i="51"/>
  <c r="CA33" i="51"/>
  <c r="CA27" i="51" s="1"/>
  <c r="BQ33" i="51"/>
  <c r="BQ27" i="51" s="1"/>
  <c r="BA33" i="51"/>
  <c r="BA27" i="51" s="1"/>
  <c r="AK33" i="51"/>
  <c r="AK27" i="51" s="1"/>
  <c r="U33" i="51"/>
  <c r="U27" i="51" s="1"/>
  <c r="BP59" i="51"/>
  <c r="BH59" i="51"/>
  <c r="AJ59" i="51"/>
  <c r="AB59" i="51"/>
  <c r="X59" i="51"/>
  <c r="P59" i="51"/>
  <c r="AJ75" i="51"/>
  <c r="X75" i="51"/>
  <c r="BZ75" i="51"/>
  <c r="BR75" i="51"/>
  <c r="BN75" i="51"/>
  <c r="BJ75" i="51"/>
  <c r="BB75" i="51"/>
  <c r="AX75" i="51"/>
  <c r="AT75" i="51"/>
  <c r="AL75" i="51"/>
  <c r="AH75" i="51"/>
  <c r="AD75" i="51"/>
  <c r="V75" i="51"/>
  <c r="R75" i="51"/>
  <c r="N75" i="51"/>
  <c r="L119" i="51"/>
  <c r="K119" i="51"/>
  <c r="CD28" i="51"/>
  <c r="AD32" i="54" s="1"/>
  <c r="BV50" i="51"/>
  <c r="BT20" i="51"/>
  <c r="J6" i="51"/>
  <c r="BW70" i="51"/>
  <c r="CA97" i="51"/>
  <c r="BO97" i="51"/>
  <c r="BK97" i="51"/>
  <c r="BG97" i="51"/>
  <c r="BC97" i="51"/>
  <c r="AY97" i="51"/>
  <c r="AU97" i="51"/>
  <c r="AQ97" i="51"/>
  <c r="AM97" i="51"/>
  <c r="AI97" i="51"/>
  <c r="AE97" i="51"/>
  <c r="AA97" i="51"/>
  <c r="W97" i="51"/>
  <c r="CD89" i="51"/>
  <c r="AD93" i="54" s="1"/>
  <c r="Z75" i="51"/>
  <c r="T75" i="51"/>
  <c r="BD75" i="51"/>
  <c r="AN75" i="51"/>
  <c r="BV75" i="51"/>
  <c r="BF75" i="51"/>
  <c r="AP75" i="51"/>
  <c r="BH75" i="51"/>
  <c r="AR75" i="51"/>
  <c r="AB75" i="51"/>
  <c r="BA75" i="51"/>
  <c r="AK75" i="51"/>
  <c r="U75" i="51"/>
  <c r="CC75" i="51"/>
  <c r="BM75" i="51"/>
  <c r="AW75" i="51"/>
  <c r="Q75" i="51"/>
  <c r="BE75" i="51"/>
  <c r="AO75" i="51"/>
  <c r="Y75" i="51"/>
  <c r="CA75" i="51"/>
  <c r="BK75" i="51"/>
  <c r="BG75" i="51"/>
  <c r="BC75" i="51"/>
  <c r="AY75" i="51"/>
  <c r="AU75" i="51"/>
  <c r="AQ75" i="51"/>
  <c r="AM75" i="51"/>
  <c r="AI75" i="51"/>
  <c r="AA75" i="51"/>
  <c r="W75" i="51"/>
  <c r="S75" i="51"/>
  <c r="O75" i="51"/>
  <c r="BZ59" i="51"/>
  <c r="BJ59" i="51"/>
  <c r="AT59" i="51"/>
  <c r="AD59" i="51"/>
  <c r="N59" i="51"/>
  <c r="BN59" i="51"/>
  <c r="AX59" i="51"/>
  <c r="AH59" i="51"/>
  <c r="R59" i="51"/>
  <c r="BR59" i="51"/>
  <c r="BM59" i="51"/>
  <c r="BB59" i="51"/>
  <c r="AW59" i="51"/>
  <c r="AL59" i="51"/>
  <c r="AG59" i="51"/>
  <c r="V59" i="51"/>
  <c r="Q59" i="51"/>
  <c r="BF59" i="51"/>
  <c r="AP59" i="51"/>
  <c r="Z59" i="51"/>
  <c r="BO59" i="51"/>
  <c r="BK59" i="51"/>
  <c r="BG59" i="51"/>
  <c r="BC59" i="51"/>
  <c r="AY59" i="51"/>
  <c r="AU59" i="51"/>
  <c r="AQ59" i="51"/>
  <c r="AM59" i="51"/>
  <c r="AI59" i="51"/>
  <c r="AE59" i="51"/>
  <c r="AA59" i="51"/>
  <c r="W59" i="51"/>
  <c r="O59" i="51"/>
  <c r="BK5" i="51"/>
  <c r="BK4" i="51" s="1"/>
  <c r="BG5" i="51"/>
  <c r="BG4" i="51" s="1"/>
  <c r="CG127" i="51"/>
  <c r="CF128" i="51"/>
  <c r="CG128" i="51" s="1"/>
  <c r="CE132" i="51"/>
  <c r="CG71" i="51"/>
  <c r="CG56" i="51"/>
  <c r="BR51" i="51"/>
  <c r="CD58" i="51"/>
  <c r="CF56" i="51"/>
  <c r="CF38" i="51"/>
  <c r="CG39" i="51"/>
  <c r="CG41" i="51"/>
  <c r="CE121" i="51"/>
  <c r="AD25" i="54" l="1"/>
  <c r="AD62" i="54"/>
  <c r="CD70" i="51"/>
  <c r="AD74" i="54" s="1"/>
  <c r="CD69" i="51"/>
  <c r="BL3" i="51"/>
  <c r="BL157" i="51" s="1"/>
  <c r="BL158" i="51" s="1"/>
  <c r="M21" i="51"/>
  <c r="M20" i="51" s="1"/>
  <c r="CG38" i="51"/>
  <c r="BV43" i="51"/>
  <c r="BR50" i="51"/>
  <c r="BR27" i="51" s="1"/>
  <c r="CD51" i="51"/>
  <c r="AD55" i="54" s="1"/>
  <c r="BU13" i="51"/>
  <c r="BW69" i="51"/>
  <c r="CG147" i="51"/>
  <c r="CF147" i="51"/>
  <c r="CG139" i="51"/>
  <c r="CF139" i="51"/>
  <c r="CG148" i="51"/>
  <c r="CG144" i="51"/>
  <c r="CG136" i="51"/>
  <c r="CG135" i="51"/>
  <c r="CG131" i="51"/>
  <c r="CG126" i="51"/>
  <c r="CF114" i="51"/>
  <c r="CG114" i="51" s="1"/>
  <c r="CG117" i="51"/>
  <c r="CF102" i="51"/>
  <c r="CG102" i="51" s="1"/>
  <c r="CG83" i="51"/>
  <c r="CG85" i="51"/>
  <c r="CG82" i="51"/>
  <c r="CG78" i="51"/>
  <c r="CF14" i="51"/>
  <c r="AB71" i="53"/>
  <c r="CG61" i="51" s="1"/>
  <c r="AA71" i="53"/>
  <c r="CF61" i="51" s="1"/>
  <c r="Z71" i="53"/>
  <c r="Y60" i="53"/>
  <c r="AA54" i="53"/>
  <c r="CF17" i="51" s="1"/>
  <c r="AB54" i="53"/>
  <c r="CG17" i="51" s="1"/>
  <c r="AA55" i="53"/>
  <c r="CF21" i="51" s="1"/>
  <c r="AB55" i="53"/>
  <c r="CG21" i="51" s="1"/>
  <c r="Z56" i="53"/>
  <c r="AA56" i="53"/>
  <c r="CF13" i="51" s="1"/>
  <c r="AB56" i="53"/>
  <c r="CG13" i="51" s="1"/>
  <c r="Y56" i="53"/>
  <c r="AB90" i="53"/>
  <c r="AB86" i="53"/>
  <c r="CG106" i="51" s="1"/>
  <c r="AB84" i="53"/>
  <c r="CG98" i="51" s="1"/>
  <c r="AA91" i="53"/>
  <c r="CF120" i="51" s="1"/>
  <c r="CF119" i="51" s="1"/>
  <c r="AA86" i="53"/>
  <c r="CF106" i="51" s="1"/>
  <c r="Z91" i="53"/>
  <c r="Z86" i="53"/>
  <c r="Y91" i="53"/>
  <c r="AD73" i="54" l="1"/>
  <c r="CD50" i="51"/>
  <c r="AD54" i="54" s="1"/>
  <c r="I24" i="22" s="1"/>
  <c r="G19" i="22" s="1"/>
  <c r="CG14" i="51"/>
  <c r="CD43" i="51"/>
  <c r="BW59" i="51"/>
  <c r="CD155" i="51"/>
  <c r="CD154" i="51"/>
  <c r="CD153" i="51"/>
  <c r="BR120" i="51"/>
  <c r="BR119" i="51" s="1"/>
  <c r="CE113" i="51"/>
  <c r="BW106" i="51"/>
  <c r="AE77" i="51"/>
  <c r="AE76" i="51" s="1"/>
  <c r="AE75" i="51" s="1"/>
  <c r="CG74" i="51"/>
  <c r="CE63" i="51"/>
  <c r="CE67" i="51"/>
  <c r="CF67" i="51"/>
  <c r="CG67" i="51"/>
  <c r="CE68" i="51"/>
  <c r="CF68" i="51"/>
  <c r="CG68" i="51"/>
  <c r="CE55" i="51"/>
  <c r="CE26" i="51"/>
  <c r="CE24" i="51"/>
  <c r="CE25" i="51"/>
  <c r="CE15" i="51"/>
  <c r="CE16" i="51"/>
  <c r="CE14" i="51"/>
  <c r="I17" i="51"/>
  <c r="I120" i="51"/>
  <c r="I119" i="51" s="1"/>
  <c r="AD158" i="54" l="1"/>
  <c r="AD47" i="54"/>
  <c r="AD157" i="54"/>
  <c r="AD159" i="54"/>
  <c r="I6" i="51"/>
  <c r="I98" i="51"/>
  <c r="S70" i="51"/>
  <c r="S69" i="51" s="1"/>
  <c r="S59" i="51" s="1"/>
  <c r="I13" i="51"/>
  <c r="I29" i="51"/>
  <c r="I61" i="51"/>
  <c r="I60" i="51" s="1"/>
  <c r="I112" i="51"/>
  <c r="CE18" i="51"/>
  <c r="J17" i="51"/>
  <c r="BV34" i="51"/>
  <c r="BV33" i="51" s="1"/>
  <c r="BV27" i="51" s="1"/>
  <c r="BK34" i="51"/>
  <c r="BK33" i="51" s="1"/>
  <c r="BK27" i="51" s="1"/>
  <c r="BK3" i="51" s="1"/>
  <c r="BK157" i="51" s="1"/>
  <c r="BK158" i="51" s="1"/>
  <c r="BS51" i="51"/>
  <c r="BS50" i="51" s="1"/>
  <c r="BS27" i="51" s="1"/>
  <c r="BS61" i="51"/>
  <c r="BS60" i="51" s="1"/>
  <c r="BS59" i="51" s="1"/>
  <c r="BO77" i="51"/>
  <c r="BO76" i="51" s="1"/>
  <c r="BO75" i="51" s="1"/>
  <c r="CF94" i="51"/>
  <c r="BT106" i="51"/>
  <c r="BS106" i="51"/>
  <c r="S112" i="51"/>
  <c r="S97" i="51" s="1"/>
  <c r="R112" i="51"/>
  <c r="R97" i="51" s="1"/>
  <c r="K112" i="51"/>
  <c r="BT120" i="51"/>
  <c r="BR150" i="51"/>
  <c r="BR149" i="51" s="1"/>
  <c r="Y150" i="51"/>
  <c r="Y149" i="51" s="1"/>
  <c r="AE150" i="51"/>
  <c r="AE149" i="51" s="1"/>
  <c r="AY150" i="51"/>
  <c r="AY149" i="51" s="1"/>
  <c r="CE155" i="51"/>
  <c r="CF155" i="51" s="1"/>
  <c r="BI6" i="51"/>
  <c r="BI5" i="51" s="1"/>
  <c r="BI4" i="51" s="1"/>
  <c r="BH6" i="51"/>
  <c r="BH5" i="51" s="1"/>
  <c r="BH4" i="51" s="1"/>
  <c r="I125" i="51"/>
  <c r="I124" i="51" s="1"/>
  <c r="I150" i="51"/>
  <c r="CI155" i="51"/>
  <c r="I77" i="51"/>
  <c r="I76" i="51" s="1"/>
  <c r="I21" i="51"/>
  <c r="I43" i="51"/>
  <c r="I51" i="51"/>
  <c r="I106" i="51"/>
  <c r="I90" i="51"/>
  <c r="I89" i="51" s="1"/>
  <c r="I70" i="51"/>
  <c r="I134" i="51"/>
  <c r="I133" i="51" s="1"/>
  <c r="J13" i="51"/>
  <c r="J34" i="51"/>
  <c r="AR43" i="51"/>
  <c r="AR33" i="51" s="1"/>
  <c r="AR27" i="51" s="1"/>
  <c r="AQ43" i="51"/>
  <c r="AQ33" i="51" s="1"/>
  <c r="AQ27" i="51" s="1"/>
  <c r="K51" i="51"/>
  <c r="K50" i="51" s="1"/>
  <c r="CE58" i="51"/>
  <c r="CF93" i="51"/>
  <c r="BW90" i="51"/>
  <c r="BW89" i="51" s="1"/>
  <c r="K106" i="51"/>
  <c r="J106" i="51"/>
  <c r="CF109" i="51"/>
  <c r="CE114" i="51"/>
  <c r="BR112" i="51"/>
  <c r="BR97" i="51" s="1"/>
  <c r="O112" i="51"/>
  <c r="O97" i="51" s="1"/>
  <c r="BW112" i="51"/>
  <c r="J125" i="51"/>
  <c r="J124" i="51" s="1"/>
  <c r="BW125" i="51"/>
  <c r="BW124" i="51" s="1"/>
  <c r="J134" i="51"/>
  <c r="J133" i="51" s="1"/>
  <c r="O134" i="51"/>
  <c r="BT134" i="51"/>
  <c r="S150" i="51"/>
  <c r="X150" i="51"/>
  <c r="X149" i="51" s="1"/>
  <c r="AM150" i="51"/>
  <c r="AM149" i="51" s="1"/>
  <c r="BC150" i="51"/>
  <c r="BC149" i="51" s="1"/>
  <c r="CE154" i="51"/>
  <c r="CF154" i="51" s="1"/>
  <c r="CA150" i="51"/>
  <c r="CA149" i="51" s="1"/>
  <c r="W150" i="51"/>
  <c r="W149" i="51" s="1"/>
  <c r="BU134" i="51"/>
  <c r="BS134" i="51"/>
  <c r="BW134" i="51"/>
  <c r="CF55" i="51"/>
  <c r="CG55" i="51" s="1"/>
  <c r="BM34" i="51"/>
  <c r="BM33" i="51" s="1"/>
  <c r="BM27" i="51" s="1"/>
  <c r="BM3" i="51" s="1"/>
  <c r="BM157" i="51" s="1"/>
  <c r="BM158" i="51" s="1"/>
  <c r="BU21" i="51"/>
  <c r="BW51" i="51"/>
  <c r="S17" i="51"/>
  <c r="BW77" i="51"/>
  <c r="BW76" i="51" s="1"/>
  <c r="BW98" i="51"/>
  <c r="BS77" i="51"/>
  <c r="BS76" i="51" s="1"/>
  <c r="BS75" i="51" s="1"/>
  <c r="BW43" i="51"/>
  <c r="K125" i="51"/>
  <c r="K43" i="51"/>
  <c r="O51" i="51"/>
  <c r="O50" i="51" s="1"/>
  <c r="O27" i="51" s="1"/>
  <c r="CE94" i="51"/>
  <c r="CE92" i="51"/>
  <c r="K90" i="51"/>
  <c r="CE116" i="51"/>
  <c r="CE91" i="51"/>
  <c r="CF122" i="51"/>
  <c r="CE46" i="51"/>
  <c r="CE95" i="51"/>
  <c r="CE80" i="51"/>
  <c r="CE141" i="51"/>
  <c r="CI153" i="51"/>
  <c r="CE105" i="51"/>
  <c r="CE88" i="51"/>
  <c r="CE143" i="51"/>
  <c r="CE13" i="51"/>
  <c r="AG77" i="51"/>
  <c r="AG76" i="51" s="1"/>
  <c r="AG75" i="51" s="1"/>
  <c r="CI154" i="51"/>
  <c r="CE129" i="51"/>
  <c r="CE79" i="51"/>
  <c r="CE128" i="51"/>
  <c r="CE85" i="51"/>
  <c r="CE127" i="51"/>
  <c r="CF91" i="51"/>
  <c r="CE111" i="51"/>
  <c r="CE148" i="51"/>
  <c r="CE57" i="51"/>
  <c r="CF57" i="51" s="1"/>
  <c r="CE147" i="51"/>
  <c r="CE49" i="51"/>
  <c r="CE84" i="51"/>
  <c r="CE103" i="51"/>
  <c r="CE107" i="51"/>
  <c r="CE118" i="51"/>
  <c r="CE130" i="51"/>
  <c r="CE136" i="51"/>
  <c r="CE64" i="51"/>
  <c r="CF64" i="51" s="1"/>
  <c r="CE87" i="51"/>
  <c r="CE108" i="51"/>
  <c r="CE139" i="51"/>
  <c r="CE145" i="51"/>
  <c r="CE86" i="51"/>
  <c r="CE135" i="51"/>
  <c r="CE144" i="51"/>
  <c r="CE138" i="51"/>
  <c r="CD152" i="51"/>
  <c r="BS150" i="51"/>
  <c r="BS149" i="51" s="1"/>
  <c r="CE117" i="51"/>
  <c r="CE146" i="51"/>
  <c r="CE142" i="51"/>
  <c r="CE82" i="51"/>
  <c r="CE99" i="51"/>
  <c r="CE153" i="51"/>
  <c r="CF153" i="51" s="1"/>
  <c r="CE140" i="51"/>
  <c r="CE131" i="51"/>
  <c r="CE110" i="51"/>
  <c r="CE109" i="51"/>
  <c r="CE93" i="51"/>
  <c r="L97" i="53"/>
  <c r="AB97" i="53" s="1"/>
  <c r="CG150" i="51" s="1"/>
  <c r="CG149" i="51" s="1"/>
  <c r="K97" i="53"/>
  <c r="AA97" i="53" s="1"/>
  <c r="CF150" i="51" s="1"/>
  <c r="J97" i="53"/>
  <c r="Z97" i="53" s="1"/>
  <c r="I97" i="53"/>
  <c r="Y97" i="53" s="1"/>
  <c r="X96" i="53"/>
  <c r="W96" i="53"/>
  <c r="V96" i="53"/>
  <c r="U96" i="53"/>
  <c r="T96" i="53"/>
  <c r="S96" i="53"/>
  <c r="R96" i="53"/>
  <c r="Q96" i="53"/>
  <c r="P96" i="53"/>
  <c r="O96" i="53"/>
  <c r="N96" i="53"/>
  <c r="M96" i="53"/>
  <c r="L96" i="53"/>
  <c r="AB96" i="53" s="1"/>
  <c r="K96" i="53"/>
  <c r="AA96" i="53" s="1"/>
  <c r="J96" i="53"/>
  <c r="I96" i="53"/>
  <c r="X95" i="53"/>
  <c r="W95" i="53"/>
  <c r="V95" i="53"/>
  <c r="U95" i="53"/>
  <c r="T95" i="53"/>
  <c r="S95" i="53"/>
  <c r="R95" i="53"/>
  <c r="Q95" i="53"/>
  <c r="P95" i="53"/>
  <c r="O95" i="53"/>
  <c r="N95" i="53"/>
  <c r="M95" i="53"/>
  <c r="L95" i="53"/>
  <c r="AB95" i="53" s="1"/>
  <c r="CG134" i="51" s="1"/>
  <c r="CG133" i="51" s="1"/>
  <c r="K95" i="53"/>
  <c r="AA95" i="53" s="1"/>
  <c r="CF134" i="51" s="1"/>
  <c r="CF133" i="51" s="1"/>
  <c r="J95" i="53"/>
  <c r="I95" i="53"/>
  <c r="X94" i="53"/>
  <c r="W94" i="53"/>
  <c r="V94" i="53"/>
  <c r="U94" i="53"/>
  <c r="T94" i="53"/>
  <c r="S94" i="53"/>
  <c r="R94" i="53"/>
  <c r="Q94" i="53"/>
  <c r="P94" i="53"/>
  <c r="O94" i="53"/>
  <c r="N94" i="53"/>
  <c r="M94" i="53"/>
  <c r="L94" i="53"/>
  <c r="AB94" i="53" s="1"/>
  <c r="K94" i="53"/>
  <c r="AA94" i="53" s="1"/>
  <c r="J94" i="53"/>
  <c r="I94" i="53"/>
  <c r="L93" i="53"/>
  <c r="AB93" i="53" s="1"/>
  <c r="CG125" i="51" s="1"/>
  <c r="CG124" i="51" s="1"/>
  <c r="K93" i="53"/>
  <c r="AA93" i="53" s="1"/>
  <c r="CF125" i="51" s="1"/>
  <c r="J93" i="53"/>
  <c r="Z93" i="53" s="1"/>
  <c r="I93" i="53"/>
  <c r="Y93" i="53" s="1"/>
  <c r="L92" i="53"/>
  <c r="AB92" i="53" s="1"/>
  <c r="K92" i="53"/>
  <c r="AA92" i="53" s="1"/>
  <c r="AB91" i="53"/>
  <c r="CG120" i="51" s="1"/>
  <c r="K90" i="53"/>
  <c r="AA90" i="53" s="1"/>
  <c r="J90" i="53"/>
  <c r="Z90" i="53" s="1"/>
  <c r="I90" i="53"/>
  <c r="Y90" i="53" s="1"/>
  <c r="L89" i="53"/>
  <c r="AB89" i="53" s="1"/>
  <c r="K89" i="53"/>
  <c r="AA89" i="53" s="1"/>
  <c r="L88" i="53"/>
  <c r="K88" i="53"/>
  <c r="AA88" i="53" s="1"/>
  <c r="CF112" i="51" s="1"/>
  <c r="J88" i="53"/>
  <c r="Z88" i="53" s="1"/>
  <c r="I88" i="53"/>
  <c r="Y88" i="53" s="1"/>
  <c r="X87" i="53"/>
  <c r="W87" i="53"/>
  <c r="V87" i="53"/>
  <c r="U87" i="53"/>
  <c r="T87" i="53"/>
  <c r="R87" i="53"/>
  <c r="P87" i="53"/>
  <c r="O87" i="53"/>
  <c r="N87" i="53"/>
  <c r="M87" i="53"/>
  <c r="I86" i="53"/>
  <c r="Y86" i="53" s="1"/>
  <c r="L85" i="53"/>
  <c r="K85" i="53"/>
  <c r="AA85" i="53" s="1"/>
  <c r="J85" i="53"/>
  <c r="I85" i="53"/>
  <c r="Y85" i="53" s="1"/>
  <c r="K84" i="53"/>
  <c r="AA84" i="53" s="1"/>
  <c r="CF98" i="51" s="1"/>
  <c r="J84" i="53"/>
  <c r="Z84" i="53" s="1"/>
  <c r="I84" i="53"/>
  <c r="Y84" i="53" s="1"/>
  <c r="L83" i="53"/>
  <c r="AB83" i="53" s="1"/>
  <c r="Y80" i="53"/>
  <c r="L80" i="53"/>
  <c r="AB80" i="53" s="1"/>
  <c r="CG90" i="51" s="1"/>
  <c r="K80" i="53"/>
  <c r="K79" i="53" s="1"/>
  <c r="J80" i="53"/>
  <c r="Z80" i="53" s="1"/>
  <c r="L79" i="53"/>
  <c r="I79" i="53"/>
  <c r="Y79" i="53" s="1"/>
  <c r="X78" i="53"/>
  <c r="X77" i="53" s="1"/>
  <c r="X76" i="53" s="1"/>
  <c r="W78" i="53"/>
  <c r="W77" i="53" s="1"/>
  <c r="W76" i="53" s="1"/>
  <c r="V78" i="53"/>
  <c r="V77" i="53" s="1"/>
  <c r="V76" i="53" s="1"/>
  <c r="U78" i="53"/>
  <c r="U77" i="53" s="1"/>
  <c r="U76" i="53" s="1"/>
  <c r="T78" i="53"/>
  <c r="T77" i="53" s="1"/>
  <c r="T76" i="53" s="1"/>
  <c r="S78" i="53"/>
  <c r="S77" i="53" s="1"/>
  <c r="S76" i="53" s="1"/>
  <c r="R78" i="53"/>
  <c r="R77" i="53" s="1"/>
  <c r="R76" i="53" s="1"/>
  <c r="Q78" i="53"/>
  <c r="L78" i="53"/>
  <c r="K78" i="53"/>
  <c r="J78" i="53"/>
  <c r="I78" i="53"/>
  <c r="Y78" i="53" s="1"/>
  <c r="Q77" i="53"/>
  <c r="Q76" i="53" s="1"/>
  <c r="P77" i="53"/>
  <c r="O77" i="53"/>
  <c r="O76" i="53" s="1"/>
  <c r="O75" i="53" s="1"/>
  <c r="N77" i="53"/>
  <c r="M77" i="53"/>
  <c r="M76" i="53" s="1"/>
  <c r="M75" i="53" s="1"/>
  <c r="P76" i="53"/>
  <c r="P75" i="53" s="1"/>
  <c r="N76" i="53"/>
  <c r="N75" i="53" s="1"/>
  <c r="X74" i="53"/>
  <c r="X73" i="53" s="1"/>
  <c r="X72" i="53" s="1"/>
  <c r="W74" i="53"/>
  <c r="V74" i="53"/>
  <c r="V73" i="53" s="1"/>
  <c r="V72" i="53" s="1"/>
  <c r="U74" i="53"/>
  <c r="U73" i="53" s="1"/>
  <c r="U72" i="53" s="1"/>
  <c r="T74" i="53"/>
  <c r="T73" i="53" s="1"/>
  <c r="T72" i="53" s="1"/>
  <c r="S74" i="53"/>
  <c r="R74" i="53"/>
  <c r="R73" i="53" s="1"/>
  <c r="R72" i="53" s="1"/>
  <c r="Q74" i="53"/>
  <c r="Q73" i="53" s="1"/>
  <c r="Q72" i="53" s="1"/>
  <c r="I74" i="53"/>
  <c r="I73" i="53" s="1"/>
  <c r="I72" i="53" s="1"/>
  <c r="W73" i="53"/>
  <c r="W72" i="53" s="1"/>
  <c r="P73" i="53"/>
  <c r="O73" i="53"/>
  <c r="O72" i="53" s="1"/>
  <c r="N73" i="53"/>
  <c r="N72" i="53" s="1"/>
  <c r="M73" i="53"/>
  <c r="M72" i="53" s="1"/>
  <c r="L73" i="53"/>
  <c r="L72" i="53" s="1"/>
  <c r="K73" i="53"/>
  <c r="K72" i="53" s="1"/>
  <c r="J73" i="53"/>
  <c r="P72" i="53"/>
  <c r="I71" i="53"/>
  <c r="Y71" i="53" s="1"/>
  <c r="V70" i="53"/>
  <c r="L70" i="53"/>
  <c r="L69" i="53" s="1"/>
  <c r="AB69" i="53" s="1"/>
  <c r="K70" i="53"/>
  <c r="J70" i="53"/>
  <c r="J69" i="53" s="1"/>
  <c r="Z69" i="53" s="1"/>
  <c r="I70" i="53"/>
  <c r="I69" i="53" s="1"/>
  <c r="Y69" i="53" s="1"/>
  <c r="X68" i="53"/>
  <c r="X67" i="53" s="1"/>
  <c r="W68" i="53"/>
  <c r="V68" i="53"/>
  <c r="V67" i="53" s="1"/>
  <c r="V66" i="53" s="1"/>
  <c r="U68" i="53"/>
  <c r="T68" i="53"/>
  <c r="T67" i="53" s="1"/>
  <c r="T66" i="53" s="1"/>
  <c r="S68" i="53"/>
  <c r="S67" i="53" s="1"/>
  <c r="S66" i="53" s="1"/>
  <c r="R68" i="53"/>
  <c r="R67" i="53" s="1"/>
  <c r="R66" i="53" s="1"/>
  <c r="Q68" i="53"/>
  <c r="Q67" i="53" s="1"/>
  <c r="Q66" i="53" s="1"/>
  <c r="P68" i="53"/>
  <c r="P67" i="53" s="1"/>
  <c r="O68" i="53"/>
  <c r="N68" i="53"/>
  <c r="N67" i="53" s="1"/>
  <c r="N66" i="53" s="1"/>
  <c r="M68" i="53"/>
  <c r="M67" i="53" s="1"/>
  <c r="M66" i="53" s="1"/>
  <c r="W67" i="53"/>
  <c r="W66" i="53" s="1"/>
  <c r="U67" i="53"/>
  <c r="U66" i="53" s="1"/>
  <c r="O67" i="53"/>
  <c r="O66" i="53" s="1"/>
  <c r="L67" i="53"/>
  <c r="K67" i="53"/>
  <c r="J67" i="53"/>
  <c r="I67" i="53"/>
  <c r="X66" i="53"/>
  <c r="P66" i="53"/>
  <c r="L66" i="53"/>
  <c r="X64" i="53"/>
  <c r="W64" i="53"/>
  <c r="W63" i="53" s="1"/>
  <c r="W62" i="53" s="1"/>
  <c r="V64" i="53"/>
  <c r="V63" i="53" s="1"/>
  <c r="U64" i="53"/>
  <c r="T64" i="53"/>
  <c r="T63" i="53" s="1"/>
  <c r="T62" i="53" s="1"/>
  <c r="S64" i="53"/>
  <c r="S63" i="53" s="1"/>
  <c r="S62" i="53" s="1"/>
  <c r="S61" i="53" s="1"/>
  <c r="R64" i="53"/>
  <c r="R63" i="53" s="1"/>
  <c r="R62" i="53" s="1"/>
  <c r="Q64" i="53"/>
  <c r="Q63" i="53" s="1"/>
  <c r="Q62" i="53" s="1"/>
  <c r="P64" i="53"/>
  <c r="O64" i="53"/>
  <c r="N64" i="53"/>
  <c r="M64" i="53"/>
  <c r="J64" i="53"/>
  <c r="J62" i="53" s="1"/>
  <c r="I64" i="53"/>
  <c r="X63" i="53"/>
  <c r="U63" i="53"/>
  <c r="U62" i="53" s="1"/>
  <c r="L63" i="53"/>
  <c r="L62" i="53" s="1"/>
  <c r="K63" i="53"/>
  <c r="J63" i="53"/>
  <c r="I63" i="53"/>
  <c r="X62" i="53"/>
  <c r="V62" i="53"/>
  <c r="P62" i="53"/>
  <c r="O62" i="53"/>
  <c r="N62" i="53"/>
  <c r="M62" i="53"/>
  <c r="AB60" i="53"/>
  <c r="AA60" i="53"/>
  <c r="Z60" i="53"/>
  <c r="X59" i="53"/>
  <c r="W59" i="53"/>
  <c r="W58" i="53" s="1"/>
  <c r="W57" i="53" s="1"/>
  <c r="V59" i="53"/>
  <c r="U59" i="53"/>
  <c r="U58" i="53" s="1"/>
  <c r="U57" i="53" s="1"/>
  <c r="T59" i="53"/>
  <c r="T58" i="53" s="1"/>
  <c r="T57" i="53" s="1"/>
  <c r="S59" i="53"/>
  <c r="S58" i="53" s="1"/>
  <c r="S57" i="53" s="1"/>
  <c r="R59" i="53"/>
  <c r="R58" i="53" s="1"/>
  <c r="R57" i="53" s="1"/>
  <c r="Q59" i="53"/>
  <c r="Q58" i="53" s="1"/>
  <c r="Q57" i="53" s="1"/>
  <c r="P59" i="53"/>
  <c r="P58" i="53" s="1"/>
  <c r="O59" i="53"/>
  <c r="O58" i="53" s="1"/>
  <c r="N59" i="53"/>
  <c r="N58" i="53" s="1"/>
  <c r="M59" i="53"/>
  <c r="M58" i="53" s="1"/>
  <c r="L59" i="53"/>
  <c r="K59" i="53"/>
  <c r="J59" i="53"/>
  <c r="J58" i="53" s="1"/>
  <c r="I59" i="53"/>
  <c r="Y59" i="53" s="1"/>
  <c r="X58" i="53"/>
  <c r="X57" i="53" s="1"/>
  <c r="V58" i="53"/>
  <c r="V57" i="53" s="1"/>
  <c r="L58" i="53"/>
  <c r="J55" i="53"/>
  <c r="Z55" i="53" s="1"/>
  <c r="I55" i="53"/>
  <c r="Y55" i="53" s="1"/>
  <c r="J54" i="53"/>
  <c r="Z54" i="53" s="1"/>
  <c r="I54" i="53"/>
  <c r="L53" i="53"/>
  <c r="AB53" i="53" s="1"/>
  <c r="K53" i="53"/>
  <c r="AA53" i="53" s="1"/>
  <c r="J53" i="53"/>
  <c r="Z53" i="53" s="1"/>
  <c r="I53" i="53"/>
  <c r="Y53" i="53" s="1"/>
  <c r="X52" i="53"/>
  <c r="W52" i="53"/>
  <c r="V52" i="53"/>
  <c r="U52" i="53"/>
  <c r="T52" i="53"/>
  <c r="S52" i="53"/>
  <c r="R52" i="53"/>
  <c r="Q52" i="53"/>
  <c r="P52" i="53"/>
  <c r="O52" i="53"/>
  <c r="N52" i="53"/>
  <c r="M52" i="53"/>
  <c r="L52" i="53"/>
  <c r="K52" i="53"/>
  <c r="J52" i="53"/>
  <c r="I52" i="53"/>
  <c r="X51" i="53"/>
  <c r="X50" i="53" s="1"/>
  <c r="W51" i="53"/>
  <c r="W50" i="53" s="1"/>
  <c r="V51" i="53"/>
  <c r="U51" i="53"/>
  <c r="U50" i="53" s="1"/>
  <c r="T51" i="53"/>
  <c r="S51" i="53"/>
  <c r="S50" i="53" s="1"/>
  <c r="R51" i="53"/>
  <c r="Q51" i="53"/>
  <c r="P51" i="53"/>
  <c r="P50" i="53" s="1"/>
  <c r="P49" i="53" s="1"/>
  <c r="O51" i="53"/>
  <c r="O50" i="53" s="1"/>
  <c r="O49" i="53" s="1"/>
  <c r="N51" i="53"/>
  <c r="N50" i="53" s="1"/>
  <c r="N49" i="53" s="1"/>
  <c r="M51" i="53"/>
  <c r="M50" i="53" s="1"/>
  <c r="M49" i="53" s="1"/>
  <c r="L51" i="53"/>
  <c r="K51" i="53"/>
  <c r="V50" i="53"/>
  <c r="T50" i="53"/>
  <c r="R50" i="53"/>
  <c r="Q50" i="53"/>
  <c r="L50" i="53"/>
  <c r="AB46" i="53"/>
  <c r="AA46" i="53"/>
  <c r="Z46" i="53"/>
  <c r="Y46" i="53"/>
  <c r="AB45" i="53"/>
  <c r="AA45" i="53"/>
  <c r="Z45" i="53"/>
  <c r="Y45" i="53"/>
  <c r="AB44" i="53"/>
  <c r="AA44" i="53"/>
  <c r="Z44" i="53"/>
  <c r="Y44" i="53"/>
  <c r="AB43" i="53"/>
  <c r="AA43" i="53"/>
  <c r="Z43" i="53"/>
  <c r="Y43" i="53"/>
  <c r="X42" i="53"/>
  <c r="X37" i="53" s="1"/>
  <c r="W42" i="53"/>
  <c r="W37" i="53" s="1"/>
  <c r="V42" i="53"/>
  <c r="V37" i="53" s="1"/>
  <c r="U42" i="53"/>
  <c r="U37" i="53" s="1"/>
  <c r="T42" i="53"/>
  <c r="S42" i="53"/>
  <c r="R42" i="53"/>
  <c r="Q42" i="53"/>
  <c r="P42" i="53"/>
  <c r="O42" i="53"/>
  <c r="N42" i="53"/>
  <c r="M42" i="53"/>
  <c r="L42" i="53"/>
  <c r="K42" i="53"/>
  <c r="J42" i="53"/>
  <c r="I42" i="53"/>
  <c r="AB41" i="53"/>
  <c r="AA41" i="53"/>
  <c r="Z41" i="53"/>
  <c r="Y41" i="53"/>
  <c r="AB40" i="53"/>
  <c r="AA40" i="53"/>
  <c r="Z40" i="53"/>
  <c r="Y40" i="53"/>
  <c r="AB39" i="53"/>
  <c r="AA39" i="53"/>
  <c r="Z39" i="53"/>
  <c r="Y39" i="53"/>
  <c r="X38" i="53"/>
  <c r="W38" i="53"/>
  <c r="V38" i="53"/>
  <c r="U38" i="53"/>
  <c r="T38" i="53"/>
  <c r="S38" i="53"/>
  <c r="R38" i="53"/>
  <c r="Q38" i="53"/>
  <c r="P38" i="53"/>
  <c r="O38" i="53"/>
  <c r="N38" i="53"/>
  <c r="M38" i="53"/>
  <c r="L38" i="53"/>
  <c r="K38" i="53"/>
  <c r="J38" i="53"/>
  <c r="I38" i="53"/>
  <c r="P37" i="53"/>
  <c r="O37" i="53"/>
  <c r="N37" i="53"/>
  <c r="M37" i="53"/>
  <c r="AB36" i="53"/>
  <c r="AA36" i="53"/>
  <c r="Z36" i="53"/>
  <c r="Y36" i="53"/>
  <c r="AB35" i="53"/>
  <c r="AA35" i="53"/>
  <c r="Z35" i="53"/>
  <c r="Y35" i="53"/>
  <c r="AB34" i="53"/>
  <c r="AA34" i="53"/>
  <c r="Z34" i="53"/>
  <c r="Y34" i="53"/>
  <c r="X33" i="53"/>
  <c r="W33" i="53"/>
  <c r="V33" i="53"/>
  <c r="U33" i="53"/>
  <c r="T33" i="53"/>
  <c r="S33" i="53"/>
  <c r="R33" i="53"/>
  <c r="Q33" i="53"/>
  <c r="P33" i="53"/>
  <c r="O33" i="53"/>
  <c r="N33" i="53"/>
  <c r="M33" i="53"/>
  <c r="L33" i="53"/>
  <c r="K33" i="53"/>
  <c r="J33" i="53"/>
  <c r="I33" i="53"/>
  <c r="AB32" i="53"/>
  <c r="AA32" i="53"/>
  <c r="Z32" i="53"/>
  <c r="Y32" i="53"/>
  <c r="X31" i="53"/>
  <c r="W31" i="53"/>
  <c r="V31" i="53"/>
  <c r="U31" i="53"/>
  <c r="T31" i="53"/>
  <c r="S31" i="53"/>
  <c r="R31" i="53"/>
  <c r="Q31" i="53"/>
  <c r="P31" i="53"/>
  <c r="O31" i="53"/>
  <c r="N31" i="53"/>
  <c r="M31" i="53"/>
  <c r="L31" i="53"/>
  <c r="K31" i="53"/>
  <c r="J31" i="53"/>
  <c r="I31" i="53"/>
  <c r="AB30" i="53"/>
  <c r="AA30" i="53"/>
  <c r="Z30" i="53"/>
  <c r="Y30" i="53"/>
  <c r="X29" i="53"/>
  <c r="W29" i="53"/>
  <c r="V29" i="53"/>
  <c r="U29" i="53"/>
  <c r="T29" i="53"/>
  <c r="S29" i="53"/>
  <c r="R29" i="53"/>
  <c r="Q29" i="53"/>
  <c r="P29" i="53"/>
  <c r="O29" i="53"/>
  <c r="N29" i="53"/>
  <c r="M29" i="53"/>
  <c r="L29" i="53"/>
  <c r="K29" i="53"/>
  <c r="J29" i="53"/>
  <c r="I29" i="53"/>
  <c r="AB28" i="53"/>
  <c r="AA28" i="53"/>
  <c r="Z28" i="53"/>
  <c r="Y28" i="53"/>
  <c r="AB27" i="53"/>
  <c r="AA27" i="53"/>
  <c r="Z27" i="53"/>
  <c r="Y27" i="53"/>
  <c r="X26" i="53"/>
  <c r="X25" i="53" s="1"/>
  <c r="X24" i="53" s="1"/>
  <c r="W26" i="53"/>
  <c r="W25" i="53" s="1"/>
  <c r="V26" i="53"/>
  <c r="V25" i="53" s="1"/>
  <c r="U26" i="53"/>
  <c r="U25" i="53" s="1"/>
  <c r="T26" i="53"/>
  <c r="T25" i="53" s="1"/>
  <c r="S26" i="53"/>
  <c r="S25" i="53" s="1"/>
  <c r="R26" i="53"/>
  <c r="R25" i="53" s="1"/>
  <c r="Q26" i="53"/>
  <c r="Q25" i="53" s="1"/>
  <c r="O26" i="53"/>
  <c r="O25" i="53" s="1"/>
  <c r="N26" i="53"/>
  <c r="M26" i="53"/>
  <c r="L26" i="53"/>
  <c r="L25" i="53" s="1"/>
  <c r="K26" i="53"/>
  <c r="K25" i="53" s="1"/>
  <c r="J26" i="53"/>
  <c r="I26" i="53"/>
  <c r="I25" i="53" s="1"/>
  <c r="P25" i="53"/>
  <c r="P24" i="53" s="1"/>
  <c r="N25" i="53"/>
  <c r="N24" i="53" s="1"/>
  <c r="M25" i="53"/>
  <c r="J25" i="53"/>
  <c r="AB23" i="53"/>
  <c r="AA23" i="53"/>
  <c r="Z23" i="53"/>
  <c r="Y23" i="53"/>
  <c r="AB22" i="53"/>
  <c r="AA22" i="53"/>
  <c r="Z22" i="53"/>
  <c r="Y22" i="53"/>
  <c r="X21" i="53"/>
  <c r="W21" i="53"/>
  <c r="V21" i="53"/>
  <c r="U21" i="53"/>
  <c r="U9" i="53" s="1"/>
  <c r="T21" i="53"/>
  <c r="S21" i="53"/>
  <c r="R21" i="53"/>
  <c r="Q21" i="53"/>
  <c r="P21" i="53"/>
  <c r="O21" i="53"/>
  <c r="N21" i="53"/>
  <c r="M21" i="53"/>
  <c r="L21" i="53"/>
  <c r="K21" i="53"/>
  <c r="J21" i="53"/>
  <c r="I21" i="53"/>
  <c r="AB20" i="53"/>
  <c r="AA20" i="53"/>
  <c r="Z20" i="53"/>
  <c r="Y20" i="53"/>
  <c r="AB19" i="53"/>
  <c r="AA19" i="53"/>
  <c r="Z19" i="53"/>
  <c r="Y19" i="53"/>
  <c r="X18" i="53"/>
  <c r="AB18" i="53" s="1"/>
  <c r="W18" i="53"/>
  <c r="AA18" i="53" s="1"/>
  <c r="V18" i="53"/>
  <c r="Z18" i="53" s="1"/>
  <c r="U18" i="53"/>
  <c r="Y18" i="53" s="1"/>
  <c r="T17" i="53"/>
  <c r="S17" i="53"/>
  <c r="R17" i="53"/>
  <c r="Q17" i="53"/>
  <c r="P17" i="53"/>
  <c r="O17" i="53"/>
  <c r="N17" i="53"/>
  <c r="M17" i="53"/>
  <c r="L17" i="53"/>
  <c r="K17" i="53"/>
  <c r="J17" i="53"/>
  <c r="I17" i="53"/>
  <c r="AB16" i="53"/>
  <c r="AA16" i="53"/>
  <c r="Z16" i="53"/>
  <c r="Y16" i="53"/>
  <c r="X15" i="53"/>
  <c r="W15" i="53"/>
  <c r="V15" i="53"/>
  <c r="U15" i="53"/>
  <c r="T15" i="53"/>
  <c r="S15" i="53"/>
  <c r="R15" i="53"/>
  <c r="Q15" i="53"/>
  <c r="P15" i="53"/>
  <c r="O15" i="53"/>
  <c r="N15" i="53"/>
  <c r="M15" i="53"/>
  <c r="L15" i="53"/>
  <c r="K15" i="53"/>
  <c r="J15" i="53"/>
  <c r="I15" i="53"/>
  <c r="Y15" i="53" s="1"/>
  <c r="AB14" i="53"/>
  <c r="AA14" i="53"/>
  <c r="Z14" i="53"/>
  <c r="Y14" i="53"/>
  <c r="AB13" i="53"/>
  <c r="AA13" i="53"/>
  <c r="Z13" i="53"/>
  <c r="Y13" i="53"/>
  <c r="X12" i="53"/>
  <c r="W12" i="53"/>
  <c r="V12" i="53"/>
  <c r="U12" i="53"/>
  <c r="T12" i="53"/>
  <c r="S12" i="53"/>
  <c r="R12" i="53"/>
  <c r="Q12" i="53"/>
  <c r="P12" i="53"/>
  <c r="O12" i="53"/>
  <c r="N12" i="53"/>
  <c r="M12" i="53"/>
  <c r="L12" i="53"/>
  <c r="K12" i="53"/>
  <c r="J12" i="53"/>
  <c r="I12" i="53"/>
  <c r="Y12" i="53" s="1"/>
  <c r="X11" i="53"/>
  <c r="W11" i="53"/>
  <c r="V11" i="53"/>
  <c r="U11" i="53"/>
  <c r="T11" i="53"/>
  <c r="S11" i="53"/>
  <c r="R11" i="53"/>
  <c r="Q11" i="53"/>
  <c r="P11" i="53"/>
  <c r="O11" i="53"/>
  <c r="N11" i="53"/>
  <c r="M11" i="53"/>
  <c r="L11" i="53"/>
  <c r="K11" i="53"/>
  <c r="J11" i="53"/>
  <c r="I11" i="53"/>
  <c r="Y11" i="53" s="1"/>
  <c r="X10" i="53"/>
  <c r="X9" i="53" s="1"/>
  <c r="W10" i="53"/>
  <c r="W9" i="53" s="1"/>
  <c r="V10" i="53"/>
  <c r="V9" i="53" s="1"/>
  <c r="U10" i="53"/>
  <c r="T10" i="53"/>
  <c r="S10" i="53"/>
  <c r="R10" i="53"/>
  <c r="Q10" i="53"/>
  <c r="Q9" i="53" s="1"/>
  <c r="P10" i="53"/>
  <c r="P9" i="53" s="1"/>
  <c r="O10" i="53"/>
  <c r="N10" i="53"/>
  <c r="N9" i="53" s="1"/>
  <c r="M10" i="53"/>
  <c r="S9" i="53"/>
  <c r="O9" i="53"/>
  <c r="M9" i="53"/>
  <c r="AB8" i="53"/>
  <c r="AA8" i="53"/>
  <c r="Z8" i="53"/>
  <c r="Y8" i="53"/>
  <c r="AB7" i="53"/>
  <c r="AA7" i="53"/>
  <c r="Z7" i="53"/>
  <c r="Y7" i="53"/>
  <c r="X6" i="53"/>
  <c r="W6" i="53"/>
  <c r="V6" i="53"/>
  <c r="U6" i="53"/>
  <c r="T6" i="53"/>
  <c r="S6" i="53"/>
  <c r="R6" i="53"/>
  <c r="Q6" i="53"/>
  <c r="P6" i="53"/>
  <c r="O6" i="53"/>
  <c r="N6" i="53"/>
  <c r="M6" i="53"/>
  <c r="L6" i="53"/>
  <c r="K6" i="53"/>
  <c r="J6" i="53"/>
  <c r="I6" i="53"/>
  <c r="Y6" i="53" s="1"/>
  <c r="AB5" i="53"/>
  <c r="AA5" i="53"/>
  <c r="Z5" i="53"/>
  <c r="Y5" i="53"/>
  <c r="O1045" i="52"/>
  <c r="AB1045" i="52" s="1"/>
  <c r="O1044" i="52"/>
  <c r="AB1044" i="52" s="1"/>
  <c r="O1043" i="52"/>
  <c r="AB1043" i="52" s="1"/>
  <c r="O1042" i="52"/>
  <c r="AB1042" i="52" s="1"/>
  <c r="O1041" i="52"/>
  <c r="AB1041" i="52" s="1"/>
  <c r="Y1040" i="52"/>
  <c r="X1040" i="52"/>
  <c r="X1039" i="52" s="1"/>
  <c r="V1040" i="52"/>
  <c r="T1040" i="52"/>
  <c r="T1039" i="52" s="1"/>
  <c r="R1040" i="52"/>
  <c r="P1040" i="52"/>
  <c r="P1039" i="52" s="1"/>
  <c r="N1040" i="52"/>
  <c r="N1039" i="52" s="1"/>
  <c r="M1040" i="52"/>
  <c r="M1039" i="52" s="1"/>
  <c r="L1040" i="52"/>
  <c r="Y1039" i="52"/>
  <c r="V1039" i="52"/>
  <c r="R1039" i="52"/>
  <c r="O1038" i="52"/>
  <c r="AB1038" i="52" s="1"/>
  <c r="O1037" i="52"/>
  <c r="AB1037" i="52" s="1"/>
  <c r="O1036" i="52"/>
  <c r="AB1036" i="52" s="1"/>
  <c r="O1035" i="52"/>
  <c r="AB1035" i="52" s="1"/>
  <c r="O1034" i="52"/>
  <c r="AB1034" i="52" s="1"/>
  <c r="Y1033" i="52"/>
  <c r="Y1032" i="52" s="1"/>
  <c r="X1033" i="52"/>
  <c r="X1032" i="52" s="1"/>
  <c r="V1033" i="52"/>
  <c r="V1032" i="52" s="1"/>
  <c r="T1033" i="52"/>
  <c r="T1032" i="52" s="1"/>
  <c r="R1033" i="52"/>
  <c r="R1032" i="52" s="1"/>
  <c r="P1033" i="52"/>
  <c r="P1032" i="52" s="1"/>
  <c r="N1033" i="52"/>
  <c r="N1032" i="52" s="1"/>
  <c r="M1033" i="52"/>
  <c r="M1032" i="52" s="1"/>
  <c r="L1033" i="52"/>
  <c r="O1031" i="52"/>
  <c r="AB1031" i="52" s="1"/>
  <c r="O1030" i="52"/>
  <c r="AB1030" i="52" s="1"/>
  <c r="O1029" i="52"/>
  <c r="AB1029" i="52" s="1"/>
  <c r="O1028" i="52"/>
  <c r="AB1028" i="52" s="1"/>
  <c r="Y1027" i="52"/>
  <c r="Y1026" i="52" s="1"/>
  <c r="X1027" i="52"/>
  <c r="X1026" i="52" s="1"/>
  <c r="V1027" i="52"/>
  <c r="V1026" i="52" s="1"/>
  <c r="T1027" i="52"/>
  <c r="T1026" i="52" s="1"/>
  <c r="R1027" i="52"/>
  <c r="R1026" i="52" s="1"/>
  <c r="P1027" i="52"/>
  <c r="P1026" i="52" s="1"/>
  <c r="N1027" i="52"/>
  <c r="N1026" i="52" s="1"/>
  <c r="M1027" i="52"/>
  <c r="M1026" i="52" s="1"/>
  <c r="L1027" i="52"/>
  <c r="AA526" i="52"/>
  <c r="AB526" i="52" s="1"/>
  <c r="O526" i="52"/>
  <c r="AA525" i="52"/>
  <c r="AB525" i="52" s="1"/>
  <c r="O525" i="52"/>
  <c r="AA524" i="52"/>
  <c r="AB524" i="52" s="1"/>
  <c r="O524" i="52"/>
  <c r="AA523" i="52"/>
  <c r="AB523" i="52" s="1"/>
  <c r="O523" i="52"/>
  <c r="AA522" i="52"/>
  <c r="AB522" i="52" s="1"/>
  <c r="O522" i="52"/>
  <c r="Z521" i="52"/>
  <c r="Z520" i="52" s="1"/>
  <c r="Y521" i="52"/>
  <c r="Y520" i="52" s="1"/>
  <c r="X521" i="52"/>
  <c r="X520" i="52" s="1"/>
  <c r="V521" i="52"/>
  <c r="T521" i="52"/>
  <c r="T520" i="52" s="1"/>
  <c r="R521" i="52"/>
  <c r="R520" i="52" s="1"/>
  <c r="P521" i="52"/>
  <c r="P520" i="52" s="1"/>
  <c r="N521" i="52"/>
  <c r="N520" i="52" s="1"/>
  <c r="M521" i="52"/>
  <c r="M520" i="52" s="1"/>
  <c r="L521" i="52"/>
  <c r="L520" i="52" s="1"/>
  <c r="V520" i="52"/>
  <c r="AA519" i="52"/>
  <c r="AB519" i="52" s="1"/>
  <c r="L519" i="52"/>
  <c r="O519" i="52" s="1"/>
  <c r="R519" i="52" s="1"/>
  <c r="BN156" i="51" s="1"/>
  <c r="AA518" i="52"/>
  <c r="AB518" i="52" s="1"/>
  <c r="M518" i="52"/>
  <c r="O518" i="52" s="1"/>
  <c r="AA517" i="52"/>
  <c r="AB517" i="52" s="1"/>
  <c r="O517" i="52"/>
  <c r="AA516" i="52"/>
  <c r="AB516" i="52" s="1"/>
  <c r="O516" i="52"/>
  <c r="AA515" i="52"/>
  <c r="AB515" i="52" s="1"/>
  <c r="O515" i="52"/>
  <c r="Z514" i="52"/>
  <c r="Z513" i="52" s="1"/>
  <c r="Y514" i="52"/>
  <c r="Y513" i="52" s="1"/>
  <c r="X514" i="52"/>
  <c r="X513" i="52" s="1"/>
  <c r="V514" i="52"/>
  <c r="V513" i="52" s="1"/>
  <c r="T514" i="52"/>
  <c r="T513" i="52" s="1"/>
  <c r="R514" i="52"/>
  <c r="R513" i="52" s="1"/>
  <c r="P514" i="52"/>
  <c r="P513" i="52" s="1"/>
  <c r="N514" i="52"/>
  <c r="N513" i="52" s="1"/>
  <c r="M514" i="52"/>
  <c r="L514" i="52"/>
  <c r="L513" i="52" s="1"/>
  <c r="AA512" i="52"/>
  <c r="AB512" i="52" s="1"/>
  <c r="O512" i="52"/>
  <c r="AA511" i="52"/>
  <c r="AB511" i="52" s="1"/>
  <c r="L511" i="52"/>
  <c r="O511" i="52" s="1"/>
  <c r="V511" i="52" s="1"/>
  <c r="V507" i="52" s="1"/>
  <c r="V506" i="52" s="1"/>
  <c r="AA510" i="52"/>
  <c r="AB510" i="52" s="1"/>
  <c r="L510" i="52"/>
  <c r="O510" i="52" s="1"/>
  <c r="P510" i="52" s="1"/>
  <c r="AA509" i="52"/>
  <c r="AB509" i="52" s="1"/>
  <c r="O509" i="52"/>
  <c r="AA508" i="52"/>
  <c r="AB508" i="52" s="1"/>
  <c r="L508" i="52"/>
  <c r="O508" i="52" s="1"/>
  <c r="Z507" i="52"/>
  <c r="Z506" i="52" s="1"/>
  <c r="Y507" i="52"/>
  <c r="X507" i="52"/>
  <c r="X506" i="52" s="1"/>
  <c r="T507" i="52"/>
  <c r="T506" i="52" s="1"/>
  <c r="R507" i="52"/>
  <c r="R506" i="52" s="1"/>
  <c r="N507" i="52"/>
  <c r="M507" i="52"/>
  <c r="M506" i="52" s="1"/>
  <c r="N506" i="52"/>
  <c r="AA505" i="52"/>
  <c r="AB505" i="52" s="1"/>
  <c r="O505" i="52"/>
  <c r="AA504" i="52"/>
  <c r="AB504" i="52" s="1"/>
  <c r="O504" i="52"/>
  <c r="Z503" i="52"/>
  <c r="Y503" i="52"/>
  <c r="X503" i="52"/>
  <c r="V503" i="52"/>
  <c r="T503" i="52"/>
  <c r="R503" i="52"/>
  <c r="P503" i="52"/>
  <c r="N503" i="52"/>
  <c r="M503" i="52"/>
  <c r="L503" i="52"/>
  <c r="AA502" i="52"/>
  <c r="AB502" i="52" s="1"/>
  <c r="O502" i="52"/>
  <c r="AA501" i="52"/>
  <c r="AB501" i="52" s="1"/>
  <c r="O501" i="52"/>
  <c r="AA500" i="52"/>
  <c r="AB500" i="52" s="1"/>
  <c r="O500" i="52"/>
  <c r="AA499" i="52"/>
  <c r="AB499" i="52" s="1"/>
  <c r="O499" i="52"/>
  <c r="AA498" i="52"/>
  <c r="AB498" i="52" s="1"/>
  <c r="O498" i="52"/>
  <c r="AA497" i="52"/>
  <c r="AB497" i="52" s="1"/>
  <c r="O497" i="52"/>
  <c r="AA496" i="52"/>
  <c r="AB496" i="52" s="1"/>
  <c r="O496" i="52"/>
  <c r="AA495" i="52"/>
  <c r="AB495" i="52" s="1"/>
  <c r="O495" i="52"/>
  <c r="AA494" i="52"/>
  <c r="AB494" i="52" s="1"/>
  <c r="O494" i="52"/>
  <c r="AA493" i="52"/>
  <c r="AB493" i="52" s="1"/>
  <c r="O493" i="52"/>
  <c r="AA492" i="52"/>
  <c r="AB492" i="52" s="1"/>
  <c r="O492" i="52"/>
  <c r="AA491" i="52"/>
  <c r="AB491" i="52" s="1"/>
  <c r="O491" i="52"/>
  <c r="AA490" i="52"/>
  <c r="AB490" i="52" s="1"/>
  <c r="O490" i="52"/>
  <c r="AA489" i="52"/>
  <c r="AB489" i="52" s="1"/>
  <c r="O489" i="52"/>
  <c r="AA488" i="52"/>
  <c r="AB488" i="52" s="1"/>
  <c r="O488" i="52"/>
  <c r="AA487" i="52"/>
  <c r="AB487" i="52" s="1"/>
  <c r="O487" i="52"/>
  <c r="AA486" i="52"/>
  <c r="AB486" i="52" s="1"/>
  <c r="O486" i="52"/>
  <c r="AA485" i="52"/>
  <c r="AB485" i="52" s="1"/>
  <c r="O485" i="52"/>
  <c r="AA484" i="52"/>
  <c r="AB484" i="52" s="1"/>
  <c r="O484" i="52"/>
  <c r="AA483" i="52"/>
  <c r="AB483" i="52" s="1"/>
  <c r="O483" i="52"/>
  <c r="AA482" i="52"/>
  <c r="AB482" i="52" s="1"/>
  <c r="O482" i="52"/>
  <c r="AA481" i="52"/>
  <c r="AB481" i="52" s="1"/>
  <c r="O481" i="52"/>
  <c r="AA480" i="52"/>
  <c r="AB480" i="52" s="1"/>
  <c r="O480" i="52"/>
  <c r="AA479" i="52"/>
  <c r="AB479" i="52" s="1"/>
  <c r="O479" i="52"/>
  <c r="AA478" i="52"/>
  <c r="AB478" i="52" s="1"/>
  <c r="O478" i="52"/>
  <c r="AA477" i="52"/>
  <c r="AB477" i="52" s="1"/>
  <c r="O477" i="52"/>
  <c r="AA476" i="52"/>
  <c r="AB476" i="52" s="1"/>
  <c r="O476" i="52"/>
  <c r="AA475" i="52"/>
  <c r="AB475" i="52" s="1"/>
  <c r="O475" i="52"/>
  <c r="AA474" i="52"/>
  <c r="AB474" i="52" s="1"/>
  <c r="O474" i="52"/>
  <c r="AA473" i="52"/>
  <c r="AB473" i="52" s="1"/>
  <c r="O473" i="52"/>
  <c r="AA472" i="52"/>
  <c r="AB472" i="52" s="1"/>
  <c r="O472" i="52"/>
  <c r="Z471" i="52"/>
  <c r="Y471" i="52"/>
  <c r="X471" i="52"/>
  <c r="V471" i="52"/>
  <c r="T471" i="52"/>
  <c r="R471" i="52"/>
  <c r="P471" i="52"/>
  <c r="N471" i="52"/>
  <c r="M471" i="52"/>
  <c r="L471" i="52"/>
  <c r="AA470" i="52"/>
  <c r="AB470" i="52" s="1"/>
  <c r="O470" i="52"/>
  <c r="AA469" i="52"/>
  <c r="AB469" i="52" s="1"/>
  <c r="O469" i="52"/>
  <c r="AA468" i="52"/>
  <c r="AB468" i="52" s="1"/>
  <c r="O468" i="52"/>
  <c r="AA467" i="52"/>
  <c r="AB467" i="52" s="1"/>
  <c r="O467" i="52"/>
  <c r="AA466" i="52"/>
  <c r="AB466" i="52" s="1"/>
  <c r="O466" i="52"/>
  <c r="AA465" i="52"/>
  <c r="AB465" i="52" s="1"/>
  <c r="O465" i="52"/>
  <c r="AA464" i="52"/>
  <c r="AB464" i="52" s="1"/>
  <c r="O464" i="52"/>
  <c r="AA463" i="52"/>
  <c r="AB463" i="52" s="1"/>
  <c r="O463" i="52"/>
  <c r="AA462" i="52"/>
  <c r="AB462" i="52" s="1"/>
  <c r="O462" i="52"/>
  <c r="AA461" i="52"/>
  <c r="AB461" i="52" s="1"/>
  <c r="O461" i="52"/>
  <c r="AA460" i="52"/>
  <c r="AB460" i="52" s="1"/>
  <c r="O460" i="52"/>
  <c r="AA459" i="52"/>
  <c r="AB459" i="52" s="1"/>
  <c r="O459" i="52"/>
  <c r="AA458" i="52"/>
  <c r="AB458" i="52" s="1"/>
  <c r="O458" i="52"/>
  <c r="AA457" i="52"/>
  <c r="AB457" i="52" s="1"/>
  <c r="O457" i="52"/>
  <c r="AA456" i="52"/>
  <c r="AB456" i="52" s="1"/>
  <c r="O456" i="52"/>
  <c r="AA455" i="52"/>
  <c r="AB455" i="52" s="1"/>
  <c r="O455" i="52"/>
  <c r="AA454" i="52"/>
  <c r="AB454" i="52" s="1"/>
  <c r="O454" i="52"/>
  <c r="AA453" i="52"/>
  <c r="AB453" i="52" s="1"/>
  <c r="O453" i="52"/>
  <c r="AA452" i="52"/>
  <c r="AB452" i="52" s="1"/>
  <c r="O452" i="52"/>
  <c r="AA451" i="52"/>
  <c r="AB451" i="52" s="1"/>
  <c r="O451" i="52"/>
  <c r="AA450" i="52"/>
  <c r="AB450" i="52" s="1"/>
  <c r="O450" i="52"/>
  <c r="AA449" i="52"/>
  <c r="AB449" i="52" s="1"/>
  <c r="O449" i="52"/>
  <c r="AA448" i="52"/>
  <c r="AB448" i="52" s="1"/>
  <c r="O448" i="52"/>
  <c r="AA447" i="52"/>
  <c r="AB447" i="52" s="1"/>
  <c r="O447" i="52"/>
  <c r="AA446" i="52"/>
  <c r="AB446" i="52" s="1"/>
  <c r="O446" i="52"/>
  <c r="AA445" i="52"/>
  <c r="AB445" i="52" s="1"/>
  <c r="O445" i="52"/>
  <c r="AA444" i="52"/>
  <c r="AB444" i="52" s="1"/>
  <c r="O444" i="52"/>
  <c r="AA443" i="52"/>
  <c r="AB443" i="52" s="1"/>
  <c r="O443" i="52"/>
  <c r="AA442" i="52"/>
  <c r="AB442" i="52" s="1"/>
  <c r="O442" i="52"/>
  <c r="AA441" i="52"/>
  <c r="AB441" i="52" s="1"/>
  <c r="O441" i="52"/>
  <c r="AA440" i="52"/>
  <c r="AB440" i="52" s="1"/>
  <c r="O440" i="52"/>
  <c r="Z439" i="52"/>
  <c r="Y439" i="52"/>
  <c r="X439" i="52"/>
  <c r="V439" i="52"/>
  <c r="T439" i="52"/>
  <c r="R439" i="52"/>
  <c r="P439" i="52"/>
  <c r="N439" i="52"/>
  <c r="M439" i="52"/>
  <c r="L439" i="52"/>
  <c r="AA438" i="52"/>
  <c r="AB438" i="52" s="1"/>
  <c r="O438" i="52"/>
  <c r="AB437" i="52"/>
  <c r="AA437" i="52"/>
  <c r="O437" i="52"/>
  <c r="AA436" i="52"/>
  <c r="AB436" i="52" s="1"/>
  <c r="O436" i="52"/>
  <c r="AA435" i="52"/>
  <c r="AB435" i="52" s="1"/>
  <c r="O435" i="52"/>
  <c r="AA434" i="52"/>
  <c r="AB434" i="52" s="1"/>
  <c r="O434" i="52"/>
  <c r="AA433" i="52"/>
  <c r="AB433" i="52" s="1"/>
  <c r="O433" i="52"/>
  <c r="AA432" i="52"/>
  <c r="AB432" i="52" s="1"/>
  <c r="O432" i="52"/>
  <c r="AA431" i="52"/>
  <c r="AB431" i="52" s="1"/>
  <c r="O431" i="52"/>
  <c r="AA430" i="52"/>
  <c r="AB430" i="52" s="1"/>
  <c r="O430" i="52"/>
  <c r="AA429" i="52"/>
  <c r="AB429" i="52" s="1"/>
  <c r="O429" i="52"/>
  <c r="AA428" i="52"/>
  <c r="AB428" i="52" s="1"/>
  <c r="O428" i="52"/>
  <c r="AA427" i="52"/>
  <c r="AB427" i="52" s="1"/>
  <c r="O427" i="52"/>
  <c r="AA426" i="52"/>
  <c r="AB426" i="52" s="1"/>
  <c r="O426" i="52"/>
  <c r="AA425" i="52"/>
  <c r="AB425" i="52" s="1"/>
  <c r="O425" i="52"/>
  <c r="AA424" i="52"/>
  <c r="AB424" i="52" s="1"/>
  <c r="O424" i="52"/>
  <c r="AA423" i="52"/>
  <c r="AB423" i="52" s="1"/>
  <c r="O423" i="52"/>
  <c r="AA422" i="52"/>
  <c r="AB422" i="52" s="1"/>
  <c r="O422" i="52"/>
  <c r="AA421" i="52"/>
  <c r="AB421" i="52" s="1"/>
  <c r="O421" i="52"/>
  <c r="AA420" i="52"/>
  <c r="AB420" i="52" s="1"/>
  <c r="O420" i="52"/>
  <c r="AA419" i="52"/>
  <c r="AB419" i="52" s="1"/>
  <c r="O419" i="52"/>
  <c r="AA418" i="52"/>
  <c r="AB418" i="52" s="1"/>
  <c r="O418" i="52"/>
  <c r="AA417" i="52"/>
  <c r="AB417" i="52" s="1"/>
  <c r="O417" i="52"/>
  <c r="AA416" i="52"/>
  <c r="AB416" i="52" s="1"/>
  <c r="O416" i="52"/>
  <c r="AA415" i="52"/>
  <c r="AB415" i="52" s="1"/>
  <c r="O415" i="52"/>
  <c r="AA414" i="52"/>
  <c r="AB414" i="52" s="1"/>
  <c r="O414" i="52"/>
  <c r="AA413" i="52"/>
  <c r="AB413" i="52" s="1"/>
  <c r="O413" i="52"/>
  <c r="AA412" i="52"/>
  <c r="AB412" i="52" s="1"/>
  <c r="O412" i="52"/>
  <c r="AA411" i="52"/>
  <c r="AB411" i="52" s="1"/>
  <c r="O411" i="52"/>
  <c r="AA410" i="52"/>
  <c r="AB410" i="52" s="1"/>
  <c r="O410" i="52"/>
  <c r="AA409" i="52"/>
  <c r="AB409" i="52" s="1"/>
  <c r="O409" i="52"/>
  <c r="AA408" i="52"/>
  <c r="AB408" i="52" s="1"/>
  <c r="O408" i="52"/>
  <c r="AA407" i="52"/>
  <c r="AB407" i="52" s="1"/>
  <c r="O407" i="52"/>
  <c r="Z406" i="52"/>
  <c r="Y406" i="52"/>
  <c r="X406" i="52"/>
  <c r="V406" i="52"/>
  <c r="T406" i="52"/>
  <c r="R406" i="52"/>
  <c r="P406" i="52"/>
  <c r="N406" i="52"/>
  <c r="M406" i="52"/>
  <c r="L406" i="52"/>
  <c r="AA405" i="52"/>
  <c r="AB405" i="52" s="1"/>
  <c r="M405" i="52"/>
  <c r="AA404" i="52"/>
  <c r="AB404" i="52" s="1"/>
  <c r="O404" i="52"/>
  <c r="Z403" i="52"/>
  <c r="Y403" i="52"/>
  <c r="X403" i="52"/>
  <c r="V403" i="52"/>
  <c r="T403" i="52"/>
  <c r="AA402" i="52"/>
  <c r="AB402" i="52" s="1"/>
  <c r="O402" i="52"/>
  <c r="AA401" i="52"/>
  <c r="AB401" i="52" s="1"/>
  <c r="O401" i="52"/>
  <c r="AA400" i="52"/>
  <c r="AB400" i="52" s="1"/>
  <c r="O400" i="52"/>
  <c r="AA399" i="52"/>
  <c r="AB399" i="52" s="1"/>
  <c r="O399" i="52"/>
  <c r="AA398" i="52"/>
  <c r="AB398" i="52" s="1"/>
  <c r="O398" i="52"/>
  <c r="AA397" i="52"/>
  <c r="AB397" i="52" s="1"/>
  <c r="L397" i="52"/>
  <c r="Z396" i="52"/>
  <c r="Y396" i="52"/>
  <c r="X396" i="52"/>
  <c r="V396" i="52"/>
  <c r="T396" i="52"/>
  <c r="R396" i="52"/>
  <c r="N396" i="52"/>
  <c r="M396" i="52"/>
  <c r="AA395" i="52"/>
  <c r="AB395" i="52" s="1"/>
  <c r="O395" i="52"/>
  <c r="AB394" i="52"/>
  <c r="M394" i="52"/>
  <c r="M393" i="52" s="1"/>
  <c r="L394" i="52"/>
  <c r="L393" i="52" s="1"/>
  <c r="AA393" i="52"/>
  <c r="Z393" i="52"/>
  <c r="Y393" i="52"/>
  <c r="X393" i="52"/>
  <c r="V393" i="52"/>
  <c r="T393" i="52"/>
  <c r="P393" i="52"/>
  <c r="N393" i="52"/>
  <c r="AA392" i="52"/>
  <c r="AB392" i="52" s="1"/>
  <c r="O392" i="52"/>
  <c r="AA391" i="52"/>
  <c r="AB391" i="52" s="1"/>
  <c r="O391" i="52"/>
  <c r="Z390" i="52"/>
  <c r="Y390" i="52"/>
  <c r="X390" i="52"/>
  <c r="V390" i="52"/>
  <c r="T390" i="52"/>
  <c r="R390" i="52"/>
  <c r="P390" i="52"/>
  <c r="N390" i="52"/>
  <c r="M390" i="52"/>
  <c r="L390" i="52"/>
  <c r="AA389" i="52"/>
  <c r="AB389" i="52" s="1"/>
  <c r="O389" i="52"/>
  <c r="AA388" i="52"/>
  <c r="AB388" i="52" s="1"/>
  <c r="O388" i="52"/>
  <c r="AA387" i="52"/>
  <c r="AB387" i="52" s="1"/>
  <c r="O387" i="52"/>
  <c r="Z386" i="52"/>
  <c r="Y386" i="52"/>
  <c r="X386" i="52"/>
  <c r="V386" i="52"/>
  <c r="T386" i="52"/>
  <c r="R386" i="52"/>
  <c r="P386" i="52"/>
  <c r="N386" i="52"/>
  <c r="M386" i="52"/>
  <c r="L386" i="52"/>
  <c r="AA385" i="52"/>
  <c r="AB385" i="52" s="1"/>
  <c r="O385" i="52"/>
  <c r="AA384" i="52"/>
  <c r="AB384" i="52" s="1"/>
  <c r="O384" i="52"/>
  <c r="Z383" i="52"/>
  <c r="Y383" i="52"/>
  <c r="AA383" i="52" s="1"/>
  <c r="X383" i="52"/>
  <c r="V383" i="52"/>
  <c r="T383" i="52"/>
  <c r="R383" i="52"/>
  <c r="P383" i="52"/>
  <c r="N383" i="52"/>
  <c r="M383" i="52"/>
  <c r="L383" i="52"/>
  <c r="AA382" i="52"/>
  <c r="AB382" i="52" s="1"/>
  <c r="O382" i="52"/>
  <c r="AA381" i="52"/>
  <c r="AB381" i="52" s="1"/>
  <c r="O381" i="52"/>
  <c r="Z380" i="52"/>
  <c r="Y380" i="52"/>
  <c r="X380" i="52"/>
  <c r="V380" i="52"/>
  <c r="T380" i="52"/>
  <c r="R380" i="52"/>
  <c r="P380" i="52"/>
  <c r="N380" i="52"/>
  <c r="M380" i="52"/>
  <c r="L380" i="52"/>
  <c r="AA377" i="52"/>
  <c r="AB377" i="52" s="1"/>
  <c r="O377" i="52"/>
  <c r="AA376" i="52"/>
  <c r="AB376" i="52" s="1"/>
  <c r="O376" i="52"/>
  <c r="AA375" i="52"/>
  <c r="AB375" i="52" s="1"/>
  <c r="O375" i="52"/>
  <c r="AA374" i="52"/>
  <c r="AB374" i="52" s="1"/>
  <c r="O374" i="52"/>
  <c r="AA373" i="52"/>
  <c r="AB373" i="52" s="1"/>
  <c r="O373" i="52"/>
  <c r="AA372" i="52"/>
  <c r="AB372" i="52" s="1"/>
  <c r="O372" i="52"/>
  <c r="Z371" i="52"/>
  <c r="Z370" i="52" s="1"/>
  <c r="Y371" i="52"/>
  <c r="X371" i="52"/>
  <c r="V371" i="52"/>
  <c r="T371" i="52"/>
  <c r="T370" i="52" s="1"/>
  <c r="R371" i="52"/>
  <c r="R370" i="52" s="1"/>
  <c r="P371" i="52"/>
  <c r="P370" i="52" s="1"/>
  <c r="N371" i="52"/>
  <c r="M371" i="52"/>
  <c r="M370" i="52" s="1"/>
  <c r="L371" i="52"/>
  <c r="X370" i="52"/>
  <c r="V370" i="52"/>
  <c r="N370" i="52"/>
  <c r="L370" i="52"/>
  <c r="AA369" i="52"/>
  <c r="AB369" i="52" s="1"/>
  <c r="O369" i="52"/>
  <c r="AA368" i="52"/>
  <c r="AB368" i="52" s="1"/>
  <c r="O368" i="52"/>
  <c r="AA367" i="52"/>
  <c r="AB367" i="52" s="1"/>
  <c r="O367" i="52"/>
  <c r="AA366" i="52"/>
  <c r="AB366" i="52" s="1"/>
  <c r="O366" i="52"/>
  <c r="AA365" i="52"/>
  <c r="AB365" i="52" s="1"/>
  <c r="O365" i="52"/>
  <c r="Z364" i="52"/>
  <c r="Y364" i="52"/>
  <c r="X364" i="52"/>
  <c r="V364" i="52"/>
  <c r="T364" i="52"/>
  <c r="R364" i="52"/>
  <c r="P364" i="52"/>
  <c r="N364" i="52"/>
  <c r="M364" i="52"/>
  <c r="M363" i="52" s="1"/>
  <c r="L364" i="52"/>
  <c r="AA362" i="52"/>
  <c r="AB362" i="52" s="1"/>
  <c r="O362" i="52"/>
  <c r="AA361" i="52"/>
  <c r="AB361" i="52" s="1"/>
  <c r="O361" i="52"/>
  <c r="Z360" i="52"/>
  <c r="Y360" i="52"/>
  <c r="X360" i="52"/>
  <c r="V360" i="52"/>
  <c r="T360" i="52"/>
  <c r="R360" i="52"/>
  <c r="P360" i="52"/>
  <c r="O360" i="52"/>
  <c r="N360" i="52"/>
  <c r="M360" i="52"/>
  <c r="L360" i="52"/>
  <c r="AA359" i="52"/>
  <c r="AB359" i="52" s="1"/>
  <c r="O359" i="52"/>
  <c r="AA358" i="52"/>
  <c r="AB358" i="52" s="1"/>
  <c r="O358" i="52"/>
  <c r="AA357" i="52"/>
  <c r="AB357" i="52" s="1"/>
  <c r="O357" i="52"/>
  <c r="Z356" i="52"/>
  <c r="Y356" i="52"/>
  <c r="X356" i="52"/>
  <c r="V356" i="52"/>
  <c r="T356" i="52"/>
  <c r="R356" i="52"/>
  <c r="P356" i="52"/>
  <c r="N356" i="52"/>
  <c r="M356" i="52"/>
  <c r="L356" i="52"/>
  <c r="AA355" i="52"/>
  <c r="AB355" i="52" s="1"/>
  <c r="O355" i="52"/>
  <c r="AA354" i="52"/>
  <c r="AB354" i="52" s="1"/>
  <c r="O354" i="52"/>
  <c r="AA353" i="52"/>
  <c r="AB353" i="52" s="1"/>
  <c r="O353" i="52"/>
  <c r="Z352" i="52"/>
  <c r="Y352" i="52"/>
  <c r="X352" i="52"/>
  <c r="V352" i="52"/>
  <c r="T352" i="52"/>
  <c r="R352" i="52"/>
  <c r="P352" i="52"/>
  <c r="N352" i="52"/>
  <c r="M352" i="52"/>
  <c r="L352" i="52"/>
  <c r="AA351" i="52"/>
  <c r="AB351" i="52" s="1"/>
  <c r="O351" i="52"/>
  <c r="AA350" i="52"/>
  <c r="AB350" i="52" s="1"/>
  <c r="O350" i="52"/>
  <c r="Z349" i="52"/>
  <c r="Y349" i="52"/>
  <c r="X349" i="52"/>
  <c r="V349" i="52"/>
  <c r="V346" i="52" s="1"/>
  <c r="V345" i="52" s="1"/>
  <c r="T349" i="52"/>
  <c r="R349" i="52"/>
  <c r="P349" i="52"/>
  <c r="N349" i="52"/>
  <c r="M349" i="52"/>
  <c r="L349" i="52"/>
  <c r="AA348" i="52"/>
  <c r="AB348" i="52" s="1"/>
  <c r="O348" i="52"/>
  <c r="AA347" i="52"/>
  <c r="AB347" i="52" s="1"/>
  <c r="O347" i="52"/>
  <c r="AA344" i="52"/>
  <c r="AB344" i="52" s="1"/>
  <c r="O344" i="52"/>
  <c r="AA343" i="52"/>
  <c r="AB343" i="52" s="1"/>
  <c r="O343" i="52"/>
  <c r="AA342" i="52"/>
  <c r="AB342" i="52" s="1"/>
  <c r="O342" i="52"/>
  <c r="AA341" i="52"/>
  <c r="AB341" i="52" s="1"/>
  <c r="O341" i="52"/>
  <c r="AA340" i="52"/>
  <c r="AB340" i="52" s="1"/>
  <c r="O340" i="52"/>
  <c r="AA339" i="52"/>
  <c r="AB339" i="52" s="1"/>
  <c r="O339" i="52"/>
  <c r="AA338" i="52"/>
  <c r="AB338" i="52" s="1"/>
  <c r="O338" i="52"/>
  <c r="AA337" i="52"/>
  <c r="AB337" i="52" s="1"/>
  <c r="O337" i="52"/>
  <c r="AA336" i="52"/>
  <c r="AB336" i="52" s="1"/>
  <c r="O336" i="52"/>
  <c r="AA335" i="52"/>
  <c r="AB335" i="52" s="1"/>
  <c r="O335" i="52"/>
  <c r="AA334" i="52"/>
  <c r="AB334" i="52" s="1"/>
  <c r="O334" i="52"/>
  <c r="AA333" i="52"/>
  <c r="AB333" i="52" s="1"/>
  <c r="O333" i="52"/>
  <c r="AA332" i="52"/>
  <c r="AB332" i="52" s="1"/>
  <c r="O332" i="52"/>
  <c r="AA331" i="52"/>
  <c r="AB331" i="52" s="1"/>
  <c r="O331" i="52"/>
  <c r="AA330" i="52"/>
  <c r="AB330" i="52" s="1"/>
  <c r="O330" i="52"/>
  <c r="AA329" i="52"/>
  <c r="AB329" i="52" s="1"/>
  <c r="O329" i="52"/>
  <c r="AA328" i="52"/>
  <c r="AB328" i="52" s="1"/>
  <c r="O328" i="52"/>
  <c r="AA327" i="52"/>
  <c r="AB327" i="52" s="1"/>
  <c r="O327" i="52"/>
  <c r="AA326" i="52"/>
  <c r="AB326" i="52" s="1"/>
  <c r="O326" i="52"/>
  <c r="AA325" i="52"/>
  <c r="AB325" i="52" s="1"/>
  <c r="O325" i="52"/>
  <c r="AA324" i="52"/>
  <c r="AB324" i="52" s="1"/>
  <c r="O324" i="52"/>
  <c r="AA323" i="52"/>
  <c r="AB323" i="52" s="1"/>
  <c r="O323" i="52"/>
  <c r="AA322" i="52"/>
  <c r="AB322" i="52" s="1"/>
  <c r="O322" i="52"/>
  <c r="AA321" i="52"/>
  <c r="AB321" i="52" s="1"/>
  <c r="O321" i="52"/>
  <c r="AA320" i="52"/>
  <c r="AB320" i="52" s="1"/>
  <c r="O320" i="52"/>
  <c r="AA319" i="52"/>
  <c r="AB319" i="52" s="1"/>
  <c r="O319" i="52"/>
  <c r="AA318" i="52"/>
  <c r="AB318" i="52" s="1"/>
  <c r="O318" i="52"/>
  <c r="AA317" i="52"/>
  <c r="AB317" i="52" s="1"/>
  <c r="O317" i="52"/>
  <c r="AA316" i="52"/>
  <c r="AB316" i="52" s="1"/>
  <c r="O316" i="52"/>
  <c r="AA315" i="52"/>
  <c r="AB315" i="52" s="1"/>
  <c r="O315" i="52"/>
  <c r="AA314" i="52"/>
  <c r="AB314" i="52" s="1"/>
  <c r="O314" i="52"/>
  <c r="AA313" i="52"/>
  <c r="AB313" i="52" s="1"/>
  <c r="O313" i="52"/>
  <c r="AA312" i="52"/>
  <c r="AB312" i="52" s="1"/>
  <c r="O312" i="52"/>
  <c r="AA311" i="52"/>
  <c r="AB311" i="52" s="1"/>
  <c r="O311" i="52"/>
  <c r="R311" i="52" s="1"/>
  <c r="AA310" i="52"/>
  <c r="X310" i="52"/>
  <c r="V310" i="52"/>
  <c r="V308" i="52" s="1"/>
  <c r="U310" i="52"/>
  <c r="N310" i="52"/>
  <c r="M310" i="52"/>
  <c r="M308" i="52" s="1"/>
  <c r="L310" i="52"/>
  <c r="AA309" i="52"/>
  <c r="AB309" i="52" s="1"/>
  <c r="O309" i="52"/>
  <c r="Z308" i="52"/>
  <c r="Y308" i="52"/>
  <c r="T308" i="52"/>
  <c r="N308" i="52"/>
  <c r="AA307" i="52"/>
  <c r="AB307" i="52" s="1"/>
  <c r="O307" i="52"/>
  <c r="AA306" i="52"/>
  <c r="AB306" i="52" s="1"/>
  <c r="O306" i="52"/>
  <c r="AA305" i="52"/>
  <c r="AB305" i="52" s="1"/>
  <c r="O305" i="52"/>
  <c r="Z304" i="52"/>
  <c r="Y304" i="52"/>
  <c r="X304" i="52"/>
  <c r="V304" i="52"/>
  <c r="T304" i="52"/>
  <c r="R304" i="52"/>
  <c r="P304" i="52"/>
  <c r="N304" i="52"/>
  <c r="M304" i="52"/>
  <c r="L304" i="52"/>
  <c r="AA303" i="52"/>
  <c r="AB303" i="52" s="1"/>
  <c r="O303" i="52"/>
  <c r="AA302" i="52"/>
  <c r="AB302" i="52" s="1"/>
  <c r="O302" i="52"/>
  <c r="AA301" i="52"/>
  <c r="AB301" i="52" s="1"/>
  <c r="O301" i="52"/>
  <c r="Z300" i="52"/>
  <c r="Y300" i="52"/>
  <c r="X300" i="52"/>
  <c r="V300" i="52"/>
  <c r="T300" i="52"/>
  <c r="R300" i="52"/>
  <c r="P300" i="52"/>
  <c r="N300" i="52"/>
  <c r="M300" i="52"/>
  <c r="L300" i="52"/>
  <c r="AA299" i="52"/>
  <c r="AB299" i="52" s="1"/>
  <c r="O299" i="52"/>
  <c r="AA298" i="52"/>
  <c r="AB298" i="52" s="1"/>
  <c r="O298" i="52"/>
  <c r="AA297" i="52"/>
  <c r="AB297" i="52" s="1"/>
  <c r="O297" i="52"/>
  <c r="Z296" i="52"/>
  <c r="Y296" i="52"/>
  <c r="X296" i="52"/>
  <c r="V296" i="52"/>
  <c r="T296" i="52"/>
  <c r="R296" i="52"/>
  <c r="P296" i="52"/>
  <c r="N296" i="52"/>
  <c r="M296" i="52"/>
  <c r="L296" i="52"/>
  <c r="AA295" i="52"/>
  <c r="AB295" i="52" s="1"/>
  <c r="O295" i="52"/>
  <c r="AA294" i="52"/>
  <c r="AB294" i="52" s="1"/>
  <c r="O294" i="52"/>
  <c r="AA293" i="52"/>
  <c r="AB293" i="52" s="1"/>
  <c r="O293" i="52"/>
  <c r="Z292" i="52"/>
  <c r="Y292" i="52"/>
  <c r="X292" i="52"/>
  <c r="V292" i="52"/>
  <c r="T292" i="52"/>
  <c r="R292" i="52"/>
  <c r="P292" i="52"/>
  <c r="N292" i="52"/>
  <c r="M292" i="52"/>
  <c r="L292" i="52"/>
  <c r="AA291" i="52"/>
  <c r="AB291" i="52" s="1"/>
  <c r="O291" i="52"/>
  <c r="AA290" i="52"/>
  <c r="AB290" i="52" s="1"/>
  <c r="O290" i="52"/>
  <c r="AA289" i="52"/>
  <c r="AB289" i="52" s="1"/>
  <c r="L289" i="52"/>
  <c r="Z288" i="52"/>
  <c r="Y288" i="52"/>
  <c r="X288" i="52"/>
  <c r="V288" i="52"/>
  <c r="T288" i="52"/>
  <c r="R288" i="52"/>
  <c r="P288" i="52"/>
  <c r="N288" i="52"/>
  <c r="M288" i="52"/>
  <c r="N287" i="52"/>
  <c r="AA286" i="52"/>
  <c r="AB286" i="52" s="1"/>
  <c r="O286" i="52"/>
  <c r="AA285" i="52"/>
  <c r="AB285" i="52" s="1"/>
  <c r="O285" i="52"/>
  <c r="AA284" i="52"/>
  <c r="AB284" i="52" s="1"/>
  <c r="O284" i="52"/>
  <c r="Z283" i="52"/>
  <c r="Y283" i="52"/>
  <c r="X283" i="52"/>
  <c r="V283" i="52"/>
  <c r="T283" i="52"/>
  <c r="R283" i="52"/>
  <c r="P283" i="52"/>
  <c r="N283" i="52"/>
  <c r="M283" i="52"/>
  <c r="L283" i="52"/>
  <c r="AA282" i="52"/>
  <c r="AB282" i="52" s="1"/>
  <c r="O282" i="52"/>
  <c r="AA281" i="52"/>
  <c r="AB281" i="52" s="1"/>
  <c r="O281" i="52"/>
  <c r="AA280" i="52"/>
  <c r="AB280" i="52" s="1"/>
  <c r="O280" i="52"/>
  <c r="Z279" i="52"/>
  <c r="Y279" i="52"/>
  <c r="Y278" i="52" s="1"/>
  <c r="X279" i="52"/>
  <c r="V279" i="52"/>
  <c r="T279" i="52"/>
  <c r="R279" i="52"/>
  <c r="R278" i="52" s="1"/>
  <c r="P279" i="52"/>
  <c r="P278" i="52" s="1"/>
  <c r="N279" i="52"/>
  <c r="N278" i="52" s="1"/>
  <c r="M279" i="52"/>
  <c r="L279" i="52"/>
  <c r="AA277" i="52"/>
  <c r="AB277" i="52" s="1"/>
  <c r="O277" i="52"/>
  <c r="AA276" i="52"/>
  <c r="AB276" i="52" s="1"/>
  <c r="O276" i="52"/>
  <c r="AA275" i="52"/>
  <c r="AB275" i="52" s="1"/>
  <c r="O275" i="52"/>
  <c r="Z274" i="52"/>
  <c r="Y274" i="52"/>
  <c r="X274" i="52"/>
  <c r="V274" i="52"/>
  <c r="T274" i="52"/>
  <c r="R274" i="52"/>
  <c r="P274" i="52"/>
  <c r="N274" i="52"/>
  <c r="M274" i="52"/>
  <c r="L274" i="52"/>
  <c r="AA273" i="52"/>
  <c r="AB273" i="52" s="1"/>
  <c r="O273" i="52"/>
  <c r="AA272" i="52"/>
  <c r="AB272" i="52" s="1"/>
  <c r="O272" i="52"/>
  <c r="AA271" i="52"/>
  <c r="AB271" i="52" s="1"/>
  <c r="O271" i="52"/>
  <c r="Z270" i="52"/>
  <c r="Y270" i="52"/>
  <c r="X270" i="52"/>
  <c r="V270" i="52"/>
  <c r="T270" i="52"/>
  <c r="R270" i="52"/>
  <c r="P270" i="52"/>
  <c r="N270" i="52"/>
  <c r="M270" i="52"/>
  <c r="L270" i="52"/>
  <c r="AA269" i="52"/>
  <c r="AB269" i="52" s="1"/>
  <c r="O269" i="52"/>
  <c r="AA268" i="52"/>
  <c r="AB268" i="52" s="1"/>
  <c r="O268" i="52"/>
  <c r="AA267" i="52"/>
  <c r="AB267" i="52" s="1"/>
  <c r="O267" i="52"/>
  <c r="Z266" i="52"/>
  <c r="Z265" i="52" s="1"/>
  <c r="Y266" i="52"/>
  <c r="X266" i="52"/>
  <c r="X265" i="52" s="1"/>
  <c r="V266" i="52"/>
  <c r="V265" i="52" s="1"/>
  <c r="T266" i="52"/>
  <c r="R266" i="52"/>
  <c r="P266" i="52"/>
  <c r="N266" i="52"/>
  <c r="N265" i="52" s="1"/>
  <c r="M266" i="52"/>
  <c r="L266" i="52"/>
  <c r="L265" i="52" s="1"/>
  <c r="AA264" i="52"/>
  <c r="AB264" i="52" s="1"/>
  <c r="O264" i="52"/>
  <c r="AA263" i="52"/>
  <c r="AB263" i="52" s="1"/>
  <c r="O263" i="52"/>
  <c r="AA262" i="52"/>
  <c r="AB262" i="52" s="1"/>
  <c r="O262" i="52"/>
  <c r="Z261" i="52"/>
  <c r="Y261" i="52"/>
  <c r="X261" i="52"/>
  <c r="V261" i="52"/>
  <c r="T261" i="52"/>
  <c r="R261" i="52"/>
  <c r="P261" i="52"/>
  <c r="N261" i="52"/>
  <c r="M261" i="52"/>
  <c r="L261" i="52"/>
  <c r="AA260" i="52"/>
  <c r="AB260" i="52" s="1"/>
  <c r="O260" i="52"/>
  <c r="AA259" i="52"/>
  <c r="AB259" i="52" s="1"/>
  <c r="O259" i="52"/>
  <c r="AA258" i="52"/>
  <c r="AB258" i="52" s="1"/>
  <c r="O258" i="52"/>
  <c r="Z257" i="52"/>
  <c r="Z256" i="52" s="1"/>
  <c r="Y257" i="52"/>
  <c r="Y256" i="52" s="1"/>
  <c r="AA256" i="52" s="1"/>
  <c r="X257" i="52"/>
  <c r="X256" i="52" s="1"/>
  <c r="V257" i="52"/>
  <c r="T257" i="52"/>
  <c r="T256" i="52" s="1"/>
  <c r="R257" i="52"/>
  <c r="R256" i="52" s="1"/>
  <c r="P257" i="52"/>
  <c r="P256" i="52" s="1"/>
  <c r="N257" i="52"/>
  <c r="M257" i="52"/>
  <c r="M256" i="52" s="1"/>
  <c r="L257" i="52"/>
  <c r="L256" i="52" s="1"/>
  <c r="AA255" i="52"/>
  <c r="AB255" i="52" s="1"/>
  <c r="O255" i="52"/>
  <c r="AA254" i="52"/>
  <c r="AB254" i="52" s="1"/>
  <c r="O254" i="52"/>
  <c r="AA253" i="52"/>
  <c r="AB253" i="52" s="1"/>
  <c r="O253" i="52"/>
  <c r="Z252" i="52"/>
  <c r="Y252" i="52"/>
  <c r="X252" i="52"/>
  <c r="V252" i="52"/>
  <c r="T252" i="52"/>
  <c r="R252" i="52"/>
  <c r="P252" i="52"/>
  <c r="N252" i="52"/>
  <c r="M252" i="52"/>
  <c r="L252" i="52"/>
  <c r="AA251" i="52"/>
  <c r="AB251" i="52" s="1"/>
  <c r="O251" i="52"/>
  <c r="AA250" i="52"/>
  <c r="AB250" i="52" s="1"/>
  <c r="O250" i="52"/>
  <c r="AA249" i="52"/>
  <c r="AB249" i="52" s="1"/>
  <c r="O249" i="52"/>
  <c r="Z248" i="52"/>
  <c r="Y248" i="52"/>
  <c r="X248" i="52"/>
  <c r="V248" i="52"/>
  <c r="T248" i="52"/>
  <c r="R248" i="52"/>
  <c r="P248" i="52"/>
  <c r="N248" i="52"/>
  <c r="M248" i="52"/>
  <c r="L248" i="52"/>
  <c r="AA245" i="52"/>
  <c r="AB245" i="52" s="1"/>
  <c r="O245" i="52"/>
  <c r="AA244" i="52"/>
  <c r="AB244" i="52" s="1"/>
  <c r="O244" i="52"/>
  <c r="AA243" i="52"/>
  <c r="AB243" i="52" s="1"/>
  <c r="O243" i="52"/>
  <c r="Z242" i="52"/>
  <c r="Y242" i="52"/>
  <c r="X242" i="52"/>
  <c r="V242" i="52"/>
  <c r="T242" i="52"/>
  <c r="R242" i="52"/>
  <c r="P242" i="52"/>
  <c r="N242" i="52"/>
  <c r="M242" i="52"/>
  <c r="L242" i="52"/>
  <c r="AA241" i="52"/>
  <c r="AB241" i="52" s="1"/>
  <c r="O241" i="52"/>
  <c r="AA240" i="52"/>
  <c r="AB240" i="52" s="1"/>
  <c r="O240" i="52"/>
  <c r="AA239" i="52"/>
  <c r="AB239" i="52" s="1"/>
  <c r="O239" i="52"/>
  <c r="Z238" i="52"/>
  <c r="Y238" i="52"/>
  <c r="X238" i="52"/>
  <c r="V238" i="52"/>
  <c r="T238" i="52"/>
  <c r="R238" i="52"/>
  <c r="P238" i="52"/>
  <c r="N238" i="52"/>
  <c r="M238" i="52"/>
  <c r="L238" i="52"/>
  <c r="AA237" i="52"/>
  <c r="AB237" i="52" s="1"/>
  <c r="O237" i="52"/>
  <c r="AA236" i="52"/>
  <c r="AB236" i="52" s="1"/>
  <c r="O236" i="52"/>
  <c r="AA235" i="52"/>
  <c r="AB235" i="52" s="1"/>
  <c r="O235" i="52"/>
  <c r="Z234" i="52"/>
  <c r="Y234" i="52"/>
  <c r="X234" i="52"/>
  <c r="V234" i="52"/>
  <c r="T234" i="52"/>
  <c r="R234" i="52"/>
  <c r="P234" i="52"/>
  <c r="N234" i="52"/>
  <c r="M234" i="52"/>
  <c r="L234" i="52"/>
  <c r="AA233" i="52"/>
  <c r="AB233" i="52" s="1"/>
  <c r="O233" i="52"/>
  <c r="AA232" i="52"/>
  <c r="AB232" i="52" s="1"/>
  <c r="O232" i="52"/>
  <c r="AA231" i="52"/>
  <c r="AB231" i="52" s="1"/>
  <c r="O231" i="52"/>
  <c r="Z230" i="52"/>
  <c r="Z229" i="52" s="1"/>
  <c r="Y230" i="52"/>
  <c r="X230" i="52"/>
  <c r="V230" i="52"/>
  <c r="T230" i="52"/>
  <c r="R230" i="52"/>
  <c r="P230" i="52"/>
  <c r="N230" i="52"/>
  <c r="M230" i="52"/>
  <c r="M229" i="52" s="1"/>
  <c r="L230" i="52"/>
  <c r="W227" i="52"/>
  <c r="U227" i="52"/>
  <c r="S227" i="52"/>
  <c r="Q227" i="52"/>
  <c r="AA226" i="52"/>
  <c r="AB226" i="52" s="1"/>
  <c r="O226" i="52"/>
  <c r="AA225" i="52"/>
  <c r="AB225" i="52" s="1"/>
  <c r="O225" i="52"/>
  <c r="AA224" i="52"/>
  <c r="AB224" i="52" s="1"/>
  <c r="O224" i="52"/>
  <c r="Z223" i="52"/>
  <c r="Y223" i="52"/>
  <c r="X223" i="52"/>
  <c r="V223" i="52"/>
  <c r="T223" i="52"/>
  <c r="R223" i="52"/>
  <c r="P223" i="52"/>
  <c r="N223" i="52"/>
  <c r="M223" i="52"/>
  <c r="L223" i="52"/>
  <c r="AA222" i="52"/>
  <c r="AB222" i="52" s="1"/>
  <c r="O222" i="52"/>
  <c r="AA221" i="52"/>
  <c r="AB221" i="52" s="1"/>
  <c r="O221" i="52"/>
  <c r="AA220" i="52"/>
  <c r="AB220" i="52" s="1"/>
  <c r="O220" i="52"/>
  <c r="Z219" i="52"/>
  <c r="Y219" i="52"/>
  <c r="X219" i="52"/>
  <c r="V219" i="52"/>
  <c r="T219" i="52"/>
  <c r="R219" i="52"/>
  <c r="P219" i="52"/>
  <c r="N219" i="52"/>
  <c r="M219" i="52"/>
  <c r="L219" i="52"/>
  <c r="AA218" i="52"/>
  <c r="AB218" i="52" s="1"/>
  <c r="O218" i="52"/>
  <c r="AA217" i="52"/>
  <c r="AB217" i="52" s="1"/>
  <c r="O217" i="52"/>
  <c r="AA216" i="52"/>
  <c r="AB216" i="52" s="1"/>
  <c r="O216" i="52"/>
  <c r="Z215" i="52"/>
  <c r="Y215" i="52"/>
  <c r="X215" i="52"/>
  <c r="V215" i="52"/>
  <c r="T215" i="52"/>
  <c r="R215" i="52"/>
  <c r="P215" i="52"/>
  <c r="N215" i="52"/>
  <c r="M215" i="52"/>
  <c r="L215" i="52"/>
  <c r="AA214" i="52"/>
  <c r="AB214" i="52" s="1"/>
  <c r="O214" i="52"/>
  <c r="AA213" i="52"/>
  <c r="AB213" i="52" s="1"/>
  <c r="O213" i="52"/>
  <c r="AA212" i="52"/>
  <c r="AB212" i="52" s="1"/>
  <c r="O212" i="52"/>
  <c r="Z211" i="52"/>
  <c r="Y211" i="52"/>
  <c r="X211" i="52"/>
  <c r="V211" i="52"/>
  <c r="T211" i="52"/>
  <c r="R211" i="52"/>
  <c r="P211" i="52"/>
  <c r="N211" i="52"/>
  <c r="M211" i="52"/>
  <c r="L211" i="52"/>
  <c r="AA210" i="52"/>
  <c r="AB210" i="52" s="1"/>
  <c r="O210" i="52"/>
  <c r="AA209" i="52"/>
  <c r="AB209" i="52" s="1"/>
  <c r="O209" i="52"/>
  <c r="AA208" i="52"/>
  <c r="AB208" i="52" s="1"/>
  <c r="O208" i="52"/>
  <c r="Z207" i="52"/>
  <c r="Y207" i="52"/>
  <c r="X207" i="52"/>
  <c r="X206" i="52" s="1"/>
  <c r="X205" i="52" s="1"/>
  <c r="V207" i="52"/>
  <c r="T207" i="52"/>
  <c r="R207" i="52"/>
  <c r="R206" i="52" s="1"/>
  <c r="R205" i="52" s="1"/>
  <c r="P207" i="52"/>
  <c r="P206" i="52" s="1"/>
  <c r="P205" i="52" s="1"/>
  <c r="N207" i="52"/>
  <c r="M207" i="52"/>
  <c r="L207" i="52"/>
  <c r="V206" i="52"/>
  <c r="V205" i="52" s="1"/>
  <c r="AA204" i="52"/>
  <c r="AB204" i="52" s="1"/>
  <c r="O204" i="52"/>
  <c r="AA203" i="52"/>
  <c r="AB203" i="52" s="1"/>
  <c r="O203" i="52"/>
  <c r="AA202" i="52"/>
  <c r="AB202" i="52" s="1"/>
  <c r="O202" i="52"/>
  <c r="Z201" i="52"/>
  <c r="Z200" i="52" s="1"/>
  <c r="Z199" i="52" s="1"/>
  <c r="Y201" i="52"/>
  <c r="AA201" i="52" s="1"/>
  <c r="X201" i="52"/>
  <c r="X200" i="52" s="1"/>
  <c r="X199" i="52" s="1"/>
  <c r="V201" i="52"/>
  <c r="V200" i="52" s="1"/>
  <c r="V199" i="52" s="1"/>
  <c r="T201" i="52"/>
  <c r="R201" i="52"/>
  <c r="R200" i="52" s="1"/>
  <c r="R199" i="52" s="1"/>
  <c r="P201" i="52"/>
  <c r="P200" i="52" s="1"/>
  <c r="P199" i="52" s="1"/>
  <c r="N201" i="52"/>
  <c r="N200" i="52" s="1"/>
  <c r="N199" i="52" s="1"/>
  <c r="M201" i="52"/>
  <c r="M200" i="52" s="1"/>
  <c r="M199" i="52" s="1"/>
  <c r="L201" i="52"/>
  <c r="L200" i="52" s="1"/>
  <c r="L199" i="52" s="1"/>
  <c r="T200" i="52"/>
  <c r="T199" i="52" s="1"/>
  <c r="AA198" i="52"/>
  <c r="AB198" i="52" s="1"/>
  <c r="O198" i="52"/>
  <c r="AA197" i="52"/>
  <c r="AB197" i="52" s="1"/>
  <c r="O197" i="52"/>
  <c r="AA196" i="52"/>
  <c r="AB196" i="52" s="1"/>
  <c r="O196" i="52"/>
  <c r="Z195" i="52"/>
  <c r="Z194" i="52" s="1"/>
  <c r="Y195" i="52"/>
  <c r="Y194" i="52" s="1"/>
  <c r="X195" i="52"/>
  <c r="V195" i="52"/>
  <c r="V194" i="52" s="1"/>
  <c r="T195" i="52"/>
  <c r="T194" i="52" s="1"/>
  <c r="R195" i="52"/>
  <c r="R194" i="52" s="1"/>
  <c r="P195" i="52"/>
  <c r="P194" i="52" s="1"/>
  <c r="N195" i="52"/>
  <c r="N194" i="52" s="1"/>
  <c r="M195" i="52"/>
  <c r="M194" i="52" s="1"/>
  <c r="L195" i="52"/>
  <c r="L194" i="52" s="1"/>
  <c r="X194" i="52"/>
  <c r="AA193" i="52"/>
  <c r="AB193" i="52" s="1"/>
  <c r="O193" i="52"/>
  <c r="AA192" i="52"/>
  <c r="AB192" i="52" s="1"/>
  <c r="O192" i="52"/>
  <c r="AA191" i="52"/>
  <c r="AB191" i="52" s="1"/>
  <c r="O191" i="52"/>
  <c r="Z190" i="52"/>
  <c r="Z189" i="52" s="1"/>
  <c r="Y190" i="52"/>
  <c r="Y189" i="52" s="1"/>
  <c r="X190" i="52"/>
  <c r="V190" i="52"/>
  <c r="V189" i="52" s="1"/>
  <c r="T190" i="52"/>
  <c r="T189" i="52" s="1"/>
  <c r="R190" i="52"/>
  <c r="R189" i="52" s="1"/>
  <c r="P190" i="52"/>
  <c r="P189" i="52" s="1"/>
  <c r="N190" i="52"/>
  <c r="N189" i="52" s="1"/>
  <c r="M190" i="52"/>
  <c r="M189" i="52" s="1"/>
  <c r="L190" i="52"/>
  <c r="L189" i="52" s="1"/>
  <c r="X189" i="52"/>
  <c r="AA186" i="52"/>
  <c r="AB186" i="52" s="1"/>
  <c r="O186" i="52"/>
  <c r="AA185" i="52"/>
  <c r="AB185" i="52" s="1"/>
  <c r="O185" i="52"/>
  <c r="AA184" i="52"/>
  <c r="AB184" i="52" s="1"/>
  <c r="O184" i="52"/>
  <c r="Z183" i="52"/>
  <c r="Y183" i="52"/>
  <c r="AA183" i="52" s="1"/>
  <c r="X183" i="52"/>
  <c r="V183" i="52"/>
  <c r="T183" i="52"/>
  <c r="R183" i="52"/>
  <c r="P183" i="52"/>
  <c r="N183" i="52"/>
  <c r="M183" i="52"/>
  <c r="L183" i="52"/>
  <c r="AA182" i="52"/>
  <c r="AB182" i="52" s="1"/>
  <c r="O182" i="52"/>
  <c r="AA181" i="52"/>
  <c r="AB181" i="52" s="1"/>
  <c r="O181" i="52"/>
  <c r="AA180" i="52"/>
  <c r="AB180" i="52" s="1"/>
  <c r="O180" i="52"/>
  <c r="Z179" i="52"/>
  <c r="Y179" i="52"/>
  <c r="X179" i="52"/>
  <c r="V179" i="52"/>
  <c r="T179" i="52"/>
  <c r="R179" i="52"/>
  <c r="P179" i="52"/>
  <c r="N179" i="52"/>
  <c r="M179" i="52"/>
  <c r="L179" i="52"/>
  <c r="AA178" i="52"/>
  <c r="AB178" i="52" s="1"/>
  <c r="O178" i="52"/>
  <c r="AA177" i="52"/>
  <c r="AB177" i="52" s="1"/>
  <c r="O177" i="52"/>
  <c r="AA176" i="52"/>
  <c r="AB176" i="52" s="1"/>
  <c r="O176" i="52"/>
  <c r="Z175" i="52"/>
  <c r="Y175" i="52"/>
  <c r="AA175" i="52" s="1"/>
  <c r="X175" i="52"/>
  <c r="V175" i="52"/>
  <c r="T175" i="52"/>
  <c r="R175" i="52"/>
  <c r="P175" i="52"/>
  <c r="N175" i="52"/>
  <c r="M175" i="52"/>
  <c r="L175" i="52"/>
  <c r="AA174" i="52"/>
  <c r="AB174" i="52" s="1"/>
  <c r="O174" i="52"/>
  <c r="AA173" i="52"/>
  <c r="AB173" i="52" s="1"/>
  <c r="O173" i="52"/>
  <c r="AA172" i="52"/>
  <c r="AB172" i="52" s="1"/>
  <c r="O172" i="52"/>
  <c r="Z171" i="52"/>
  <c r="Y171" i="52"/>
  <c r="X171" i="52"/>
  <c r="V171" i="52"/>
  <c r="T171" i="52"/>
  <c r="R171" i="52"/>
  <c r="P171" i="52"/>
  <c r="N171" i="52"/>
  <c r="M171" i="52"/>
  <c r="L171" i="52"/>
  <c r="AA170" i="52"/>
  <c r="AB170" i="52" s="1"/>
  <c r="O170" i="52"/>
  <c r="AA169" i="52"/>
  <c r="AB169" i="52" s="1"/>
  <c r="O169" i="52"/>
  <c r="AA168" i="52"/>
  <c r="AB168" i="52" s="1"/>
  <c r="O168" i="52"/>
  <c r="Z167" i="52"/>
  <c r="Y167" i="52"/>
  <c r="X167" i="52"/>
  <c r="V167" i="52"/>
  <c r="T167" i="52"/>
  <c r="R167" i="52"/>
  <c r="P167" i="52"/>
  <c r="N167" i="52"/>
  <c r="M167" i="52"/>
  <c r="L167" i="52"/>
  <c r="AA166" i="52"/>
  <c r="AB166" i="52" s="1"/>
  <c r="O166" i="52"/>
  <c r="AA165" i="52"/>
  <c r="AB165" i="52" s="1"/>
  <c r="O165" i="52"/>
  <c r="AA164" i="52"/>
  <c r="AB164" i="52" s="1"/>
  <c r="O164" i="52"/>
  <c r="Z163" i="52"/>
  <c r="Y163" i="52"/>
  <c r="X163" i="52"/>
  <c r="V163" i="52"/>
  <c r="T163" i="52"/>
  <c r="R163" i="52"/>
  <c r="P163" i="52"/>
  <c r="N163" i="52"/>
  <c r="M163" i="52"/>
  <c r="L163" i="52"/>
  <c r="AA162" i="52"/>
  <c r="AB162" i="52" s="1"/>
  <c r="O162" i="52"/>
  <c r="AA161" i="52"/>
  <c r="AB161" i="52" s="1"/>
  <c r="O161" i="52"/>
  <c r="AA160" i="52"/>
  <c r="AB160" i="52" s="1"/>
  <c r="O160" i="52"/>
  <c r="Z159" i="52"/>
  <c r="Y159" i="52"/>
  <c r="X159" i="52"/>
  <c r="V159" i="52"/>
  <c r="T159" i="52"/>
  <c r="R159" i="52"/>
  <c r="P159" i="52"/>
  <c r="N159" i="52"/>
  <c r="M159" i="52"/>
  <c r="L159" i="52"/>
  <c r="AA158" i="52"/>
  <c r="AB158" i="52" s="1"/>
  <c r="O158" i="52"/>
  <c r="AA157" i="52"/>
  <c r="AB157" i="52" s="1"/>
  <c r="O157" i="52"/>
  <c r="AA156" i="52"/>
  <c r="AB156" i="52" s="1"/>
  <c r="O156" i="52"/>
  <c r="Z155" i="52"/>
  <c r="Y155" i="52"/>
  <c r="X155" i="52"/>
  <c r="V155" i="52"/>
  <c r="T155" i="52"/>
  <c r="R155" i="52"/>
  <c r="P155" i="52"/>
  <c r="N155" i="52"/>
  <c r="M155" i="52"/>
  <c r="L155" i="52"/>
  <c r="AA154" i="52"/>
  <c r="AB154" i="52" s="1"/>
  <c r="O154" i="52"/>
  <c r="AA153" i="52"/>
  <c r="AB153" i="52" s="1"/>
  <c r="O153" i="52"/>
  <c r="AA152" i="52"/>
  <c r="AB152" i="52" s="1"/>
  <c r="O152" i="52"/>
  <c r="Z151" i="52"/>
  <c r="Y151" i="52"/>
  <c r="X151" i="52"/>
  <c r="V151" i="52"/>
  <c r="T151" i="52"/>
  <c r="R151" i="52"/>
  <c r="P151" i="52"/>
  <c r="N151" i="52"/>
  <c r="M151" i="52"/>
  <c r="L151" i="52"/>
  <c r="AA150" i="52"/>
  <c r="AB150" i="52" s="1"/>
  <c r="O150" i="52"/>
  <c r="AA149" i="52"/>
  <c r="AB149" i="52" s="1"/>
  <c r="O149" i="52"/>
  <c r="Z148" i="52"/>
  <c r="Y148" i="52"/>
  <c r="X148" i="52"/>
  <c r="V148" i="52"/>
  <c r="T148" i="52"/>
  <c r="R148" i="52"/>
  <c r="P148" i="52"/>
  <c r="N148" i="52"/>
  <c r="M148" i="52"/>
  <c r="L148" i="52"/>
  <c r="AA146" i="52"/>
  <c r="AB146" i="52" s="1"/>
  <c r="O146" i="52"/>
  <c r="AA145" i="52"/>
  <c r="AB145" i="52" s="1"/>
  <c r="O145" i="52"/>
  <c r="AA144" i="52"/>
  <c r="AB144" i="52" s="1"/>
  <c r="O144" i="52"/>
  <c r="Z143" i="52"/>
  <c r="Y143" i="52"/>
  <c r="X143" i="52"/>
  <c r="V143" i="52"/>
  <c r="T143" i="52"/>
  <c r="R143" i="52"/>
  <c r="P143" i="52"/>
  <c r="N143" i="52"/>
  <c r="M143" i="52"/>
  <c r="L143" i="52"/>
  <c r="AA142" i="52"/>
  <c r="AB142" i="52" s="1"/>
  <c r="O142" i="52"/>
  <c r="AA141" i="52"/>
  <c r="AB141" i="52" s="1"/>
  <c r="O141" i="52"/>
  <c r="AA140" i="52"/>
  <c r="AB140" i="52" s="1"/>
  <c r="O140" i="52"/>
  <c r="P140" i="52" s="1"/>
  <c r="P139" i="52" s="1"/>
  <c r="Z139" i="52"/>
  <c r="Y139" i="52"/>
  <c r="X139" i="52"/>
  <c r="V139" i="52"/>
  <c r="T139" i="52"/>
  <c r="R139" i="52"/>
  <c r="N139" i="52"/>
  <c r="M139" i="52"/>
  <c r="L139" i="52"/>
  <c r="AA138" i="52"/>
  <c r="AB138" i="52" s="1"/>
  <c r="O138" i="52"/>
  <c r="AA137" i="52"/>
  <c r="AB137" i="52" s="1"/>
  <c r="O137" i="52"/>
  <c r="AA136" i="52"/>
  <c r="AB136" i="52" s="1"/>
  <c r="L136" i="52"/>
  <c r="O136" i="52" s="1"/>
  <c r="Z135" i="52"/>
  <c r="Y135" i="52"/>
  <c r="X135" i="52"/>
  <c r="V135" i="52"/>
  <c r="P135" i="52"/>
  <c r="N135" i="52"/>
  <c r="M135" i="52"/>
  <c r="AA134" i="52"/>
  <c r="AB134" i="52" s="1"/>
  <c r="O134" i="52"/>
  <c r="AA133" i="52"/>
  <c r="AB133" i="52" s="1"/>
  <c r="O133" i="52"/>
  <c r="AA132" i="52"/>
  <c r="AB132" i="52" s="1"/>
  <c r="O132" i="52"/>
  <c r="Y131" i="52"/>
  <c r="AA131" i="52" s="1"/>
  <c r="X131" i="52"/>
  <c r="AB131" i="52" s="1"/>
  <c r="V131" i="52"/>
  <c r="T131" i="52"/>
  <c r="R131" i="52"/>
  <c r="P131" i="52"/>
  <c r="N131" i="52"/>
  <c r="M131" i="52"/>
  <c r="L131" i="52"/>
  <c r="AA130" i="52"/>
  <c r="AB130" i="52" s="1"/>
  <c r="O130" i="52"/>
  <c r="AA129" i="52"/>
  <c r="AB129" i="52" s="1"/>
  <c r="O129" i="52"/>
  <c r="AA128" i="52"/>
  <c r="AB128" i="52" s="1"/>
  <c r="O128" i="52"/>
  <c r="Z127" i="52"/>
  <c r="Y127" i="52"/>
  <c r="X127" i="52"/>
  <c r="V127" i="52"/>
  <c r="T127" i="52"/>
  <c r="R127" i="52"/>
  <c r="P127" i="52"/>
  <c r="N127" i="52"/>
  <c r="M127" i="52"/>
  <c r="L127" i="52"/>
  <c r="AA126" i="52"/>
  <c r="AB126" i="52" s="1"/>
  <c r="O126" i="52"/>
  <c r="AA125" i="52"/>
  <c r="AB125" i="52" s="1"/>
  <c r="O125" i="52"/>
  <c r="AA124" i="52"/>
  <c r="AB124" i="52" s="1"/>
  <c r="O124" i="52"/>
  <c r="Z123" i="52"/>
  <c r="Y123" i="52"/>
  <c r="X123" i="52"/>
  <c r="V123" i="52"/>
  <c r="T123" i="52"/>
  <c r="R123" i="52"/>
  <c r="P123" i="52"/>
  <c r="N123" i="52"/>
  <c r="M123" i="52"/>
  <c r="L123" i="52"/>
  <c r="AA122" i="52"/>
  <c r="AB122" i="52" s="1"/>
  <c r="O122" i="52"/>
  <c r="AA121" i="52"/>
  <c r="AB121" i="52" s="1"/>
  <c r="O121" i="52"/>
  <c r="AA120" i="52"/>
  <c r="AB120" i="52" s="1"/>
  <c r="O120" i="52"/>
  <c r="Z119" i="52"/>
  <c r="Y119" i="52"/>
  <c r="X119" i="52"/>
  <c r="V119" i="52"/>
  <c r="T119" i="52"/>
  <c r="R119" i="52"/>
  <c r="P119" i="52"/>
  <c r="O119" i="52"/>
  <c r="N119" i="52"/>
  <c r="M119" i="52"/>
  <c r="L119" i="52"/>
  <c r="AA118" i="52"/>
  <c r="AB118" i="52" s="1"/>
  <c r="O118" i="52"/>
  <c r="AA117" i="52"/>
  <c r="AB117" i="52" s="1"/>
  <c r="O117" i="52"/>
  <c r="AA116" i="52"/>
  <c r="AB116" i="52" s="1"/>
  <c r="O116" i="52"/>
  <c r="Z115" i="52"/>
  <c r="Y115" i="52"/>
  <c r="X115" i="52"/>
  <c r="V115" i="52"/>
  <c r="T115" i="52"/>
  <c r="R115" i="52"/>
  <c r="P115" i="52"/>
  <c r="N115" i="52"/>
  <c r="M115" i="52"/>
  <c r="L115" i="52"/>
  <c r="AA114" i="52"/>
  <c r="AB114" i="52" s="1"/>
  <c r="O114" i="52"/>
  <c r="AA113" i="52"/>
  <c r="AB113" i="52" s="1"/>
  <c r="O113" i="52"/>
  <c r="AA112" i="52"/>
  <c r="AB112" i="52" s="1"/>
  <c r="O112" i="52"/>
  <c r="Z111" i="52"/>
  <c r="Y111" i="52"/>
  <c r="X111" i="52"/>
  <c r="V111" i="52"/>
  <c r="T111" i="52"/>
  <c r="R111" i="52"/>
  <c r="P111" i="52"/>
  <c r="N111" i="52"/>
  <c r="M111" i="52"/>
  <c r="L111" i="52"/>
  <c r="AA110" i="52"/>
  <c r="AB110" i="52" s="1"/>
  <c r="O110" i="52"/>
  <c r="AA109" i="52"/>
  <c r="AB109" i="52" s="1"/>
  <c r="O109" i="52"/>
  <c r="AA108" i="52"/>
  <c r="AB108" i="52" s="1"/>
  <c r="O108" i="52"/>
  <c r="Z107" i="52"/>
  <c r="Y107" i="52"/>
  <c r="X107" i="52"/>
  <c r="V107" i="52"/>
  <c r="T107" i="52"/>
  <c r="R107" i="52"/>
  <c r="P107" i="52"/>
  <c r="N107" i="52"/>
  <c r="M107" i="52"/>
  <c r="L107" i="52"/>
  <c r="AA106" i="52"/>
  <c r="AB106" i="52" s="1"/>
  <c r="O106" i="52"/>
  <c r="AA105" i="52"/>
  <c r="AB105" i="52" s="1"/>
  <c r="O105" i="52"/>
  <c r="AA104" i="52"/>
  <c r="AB104" i="52" s="1"/>
  <c r="O104" i="52"/>
  <c r="Z103" i="52"/>
  <c r="Y103" i="52"/>
  <c r="X103" i="52"/>
  <c r="V103" i="52"/>
  <c r="T103" i="52"/>
  <c r="R103" i="52"/>
  <c r="P103" i="52"/>
  <c r="N103" i="52"/>
  <c r="M103" i="52"/>
  <c r="L103" i="52"/>
  <c r="AA100" i="52"/>
  <c r="AB100" i="52" s="1"/>
  <c r="O100" i="52"/>
  <c r="AA99" i="52"/>
  <c r="AB99" i="52" s="1"/>
  <c r="O99" i="52"/>
  <c r="AA98" i="52"/>
  <c r="AB98" i="52" s="1"/>
  <c r="O98" i="52"/>
  <c r="T98" i="52" s="1"/>
  <c r="AA97" i="52"/>
  <c r="AB97" i="52" s="1"/>
  <c r="L97" i="52"/>
  <c r="O97" i="52" s="1"/>
  <c r="Z96" i="52"/>
  <c r="Y96" i="52"/>
  <c r="X96" i="52"/>
  <c r="V96" i="52"/>
  <c r="N96" i="52"/>
  <c r="M96" i="52"/>
  <c r="AA95" i="52"/>
  <c r="AB95" i="52" s="1"/>
  <c r="O95" i="52"/>
  <c r="AA94" i="52"/>
  <c r="AB94" i="52" s="1"/>
  <c r="O94" i="52"/>
  <c r="AA93" i="52"/>
  <c r="AB93" i="52" s="1"/>
  <c r="O93" i="52"/>
  <c r="Z92" i="52"/>
  <c r="Y92" i="52"/>
  <c r="X92" i="52"/>
  <c r="V92" i="52"/>
  <c r="T92" i="52"/>
  <c r="R92" i="52"/>
  <c r="P92" i="52"/>
  <c r="O92" i="52"/>
  <c r="N92" i="52"/>
  <c r="M92" i="52"/>
  <c r="L92" i="52"/>
  <c r="AA91" i="52"/>
  <c r="AB91" i="52" s="1"/>
  <c r="O91" i="52"/>
  <c r="AA90" i="52"/>
  <c r="AB90" i="52" s="1"/>
  <c r="O90" i="52"/>
  <c r="AA89" i="52"/>
  <c r="AB89" i="52" s="1"/>
  <c r="O89" i="52"/>
  <c r="Z88" i="52"/>
  <c r="Y88" i="52"/>
  <c r="X88" i="52"/>
  <c r="V88" i="52"/>
  <c r="T88" i="52"/>
  <c r="R88" i="52"/>
  <c r="P88" i="52"/>
  <c r="N88" i="52"/>
  <c r="M88" i="52"/>
  <c r="L88" i="52"/>
  <c r="AA87" i="52"/>
  <c r="AB87" i="52" s="1"/>
  <c r="O87" i="52"/>
  <c r="AA86" i="52"/>
  <c r="AB86" i="52" s="1"/>
  <c r="O86" i="52"/>
  <c r="AA85" i="52"/>
  <c r="AB85" i="52" s="1"/>
  <c r="O85" i="52"/>
  <c r="Z84" i="52"/>
  <c r="Y84" i="52"/>
  <c r="X84" i="52"/>
  <c r="V84" i="52"/>
  <c r="T84" i="52"/>
  <c r="R84" i="52"/>
  <c r="P84" i="52"/>
  <c r="N84" i="52"/>
  <c r="M84" i="52"/>
  <c r="L84" i="52"/>
  <c r="AA83" i="52"/>
  <c r="AB83" i="52" s="1"/>
  <c r="O83" i="52"/>
  <c r="AA82" i="52"/>
  <c r="AB82" i="52" s="1"/>
  <c r="O82" i="52"/>
  <c r="AA81" i="52"/>
  <c r="AB81" i="52" s="1"/>
  <c r="O81" i="52"/>
  <c r="Z80" i="52"/>
  <c r="Y80" i="52"/>
  <c r="X80" i="52"/>
  <c r="V80" i="52"/>
  <c r="T80" i="52"/>
  <c r="R80" i="52"/>
  <c r="P80" i="52"/>
  <c r="N80" i="52"/>
  <c r="M80" i="52"/>
  <c r="L80" i="52"/>
  <c r="AA77" i="52"/>
  <c r="AB77" i="52" s="1"/>
  <c r="O77" i="52"/>
  <c r="AA76" i="52"/>
  <c r="AB76" i="52" s="1"/>
  <c r="O76" i="52"/>
  <c r="AA75" i="52"/>
  <c r="AB75" i="52" s="1"/>
  <c r="L75" i="52"/>
  <c r="O75" i="52" s="1"/>
  <c r="Z74" i="52"/>
  <c r="Y74" i="52"/>
  <c r="X74" i="52"/>
  <c r="V74" i="52"/>
  <c r="P74" i="52"/>
  <c r="N74" i="52"/>
  <c r="M74" i="52"/>
  <c r="L74" i="52"/>
  <c r="AA73" i="52"/>
  <c r="AB73" i="52" s="1"/>
  <c r="O73" i="52"/>
  <c r="AA72" i="52"/>
  <c r="AB72" i="52" s="1"/>
  <c r="O72" i="52"/>
  <c r="AA71" i="52"/>
  <c r="AB71" i="52" s="1"/>
  <c r="O71" i="52"/>
  <c r="Z70" i="52"/>
  <c r="Y70" i="52"/>
  <c r="X70" i="52"/>
  <c r="V70" i="52"/>
  <c r="T70" i="52"/>
  <c r="R70" i="52"/>
  <c r="P70" i="52"/>
  <c r="N70" i="52"/>
  <c r="M70" i="52"/>
  <c r="L70" i="52"/>
  <c r="AA69" i="52"/>
  <c r="AB69" i="52" s="1"/>
  <c r="O69" i="52"/>
  <c r="AA68" i="52"/>
  <c r="AB68" i="52" s="1"/>
  <c r="O68" i="52"/>
  <c r="AA67" i="52"/>
  <c r="AB67" i="52" s="1"/>
  <c r="L67" i="52"/>
  <c r="O67" i="52" s="1"/>
  <c r="Z66" i="52"/>
  <c r="Y66" i="52"/>
  <c r="AA66" i="52" s="1"/>
  <c r="X66" i="52"/>
  <c r="V66" i="52"/>
  <c r="P66" i="52"/>
  <c r="N66" i="52"/>
  <c r="M66" i="52"/>
  <c r="L66" i="52"/>
  <c r="AA65" i="52"/>
  <c r="AB65" i="52" s="1"/>
  <c r="O65" i="52"/>
  <c r="AA64" i="52"/>
  <c r="AB64" i="52" s="1"/>
  <c r="O64" i="52"/>
  <c r="AA63" i="52"/>
  <c r="AB63" i="52" s="1"/>
  <c r="L63" i="52"/>
  <c r="O63" i="52" s="1"/>
  <c r="T63" i="52" s="1"/>
  <c r="T62" i="52" s="1"/>
  <c r="Z62" i="52"/>
  <c r="Y62" i="52"/>
  <c r="X62" i="52"/>
  <c r="V62" i="52"/>
  <c r="P62" i="52"/>
  <c r="N62" i="52"/>
  <c r="M62" i="52"/>
  <c r="L62" i="52"/>
  <c r="AA61" i="52"/>
  <c r="AB61" i="52" s="1"/>
  <c r="O61" i="52"/>
  <c r="AA60" i="52"/>
  <c r="AB60" i="52" s="1"/>
  <c r="O60" i="52"/>
  <c r="R60" i="52" s="1"/>
  <c r="AA59" i="52"/>
  <c r="AB59" i="52" s="1"/>
  <c r="L59" i="52"/>
  <c r="O59" i="52" s="1"/>
  <c r="Z58" i="52"/>
  <c r="Y58" i="52"/>
  <c r="X58" i="52"/>
  <c r="V58" i="52"/>
  <c r="N58" i="52"/>
  <c r="M58" i="52"/>
  <c r="AA57" i="52"/>
  <c r="AB57" i="52" s="1"/>
  <c r="O57" i="52"/>
  <c r="AA56" i="52"/>
  <c r="AB56" i="52" s="1"/>
  <c r="O56" i="52"/>
  <c r="T56" i="52" s="1"/>
  <c r="AA55" i="52"/>
  <c r="AB55" i="52" s="1"/>
  <c r="L55" i="52"/>
  <c r="O55" i="52" s="1"/>
  <c r="T55" i="52" s="1"/>
  <c r="Z54" i="52"/>
  <c r="Y54" i="52"/>
  <c r="X54" i="52"/>
  <c r="V54" i="52"/>
  <c r="P54" i="52"/>
  <c r="N54" i="52"/>
  <c r="M54" i="52"/>
  <c r="AA53" i="52"/>
  <c r="AB53" i="52" s="1"/>
  <c r="O53" i="52"/>
  <c r="AA52" i="52"/>
  <c r="AB52" i="52" s="1"/>
  <c r="O52" i="52"/>
  <c r="T52" i="52" s="1"/>
  <c r="AA51" i="52"/>
  <c r="AB51" i="52" s="1"/>
  <c r="L51" i="52"/>
  <c r="O51" i="52" s="1"/>
  <c r="Z50" i="52"/>
  <c r="Y50" i="52"/>
  <c r="AA50" i="52" s="1"/>
  <c r="X50" i="52"/>
  <c r="V50" i="52"/>
  <c r="P50" i="52"/>
  <c r="N50" i="52"/>
  <c r="M50" i="52"/>
  <c r="AA49" i="52"/>
  <c r="AB49" i="52" s="1"/>
  <c r="O49" i="52"/>
  <c r="AA48" i="52"/>
  <c r="AB48" i="52" s="1"/>
  <c r="O48" i="52"/>
  <c r="T48" i="52" s="1"/>
  <c r="AA47" i="52"/>
  <c r="AB47" i="52" s="1"/>
  <c r="O47" i="52"/>
  <c r="T47" i="52" s="1"/>
  <c r="T46" i="52" s="1"/>
  <c r="Z46" i="52"/>
  <c r="Y46" i="52"/>
  <c r="X46" i="52"/>
  <c r="V46" i="52"/>
  <c r="R46" i="52"/>
  <c r="N46" i="52"/>
  <c r="M46" i="52"/>
  <c r="L46" i="52"/>
  <c r="AA45" i="52"/>
  <c r="AB45" i="52" s="1"/>
  <c r="O45" i="52"/>
  <c r="AA44" i="52"/>
  <c r="AB44" i="52" s="1"/>
  <c r="O44" i="52"/>
  <c r="T44" i="52" s="1"/>
  <c r="AA43" i="52"/>
  <c r="AB43" i="52" s="1"/>
  <c r="L43" i="52"/>
  <c r="O43" i="52" s="1"/>
  <c r="T43" i="52" s="1"/>
  <c r="Z42" i="52"/>
  <c r="Y42" i="52"/>
  <c r="AA42" i="52" s="1"/>
  <c r="X42" i="52"/>
  <c r="V42" i="52"/>
  <c r="N42" i="52"/>
  <c r="M42" i="52"/>
  <c r="AA41" i="52"/>
  <c r="AB41" i="52" s="1"/>
  <c r="O41" i="52"/>
  <c r="AA40" i="52"/>
  <c r="AB40" i="52" s="1"/>
  <c r="O40" i="52"/>
  <c r="AA39" i="52"/>
  <c r="AB39" i="52" s="1"/>
  <c r="L39" i="52"/>
  <c r="O39" i="52" s="1"/>
  <c r="Z38" i="52"/>
  <c r="Y38" i="52"/>
  <c r="X38" i="52"/>
  <c r="V38" i="52"/>
  <c r="P38" i="52"/>
  <c r="N38" i="52"/>
  <c r="M38" i="52"/>
  <c r="AA36" i="52"/>
  <c r="AB36" i="52" s="1"/>
  <c r="O36" i="52"/>
  <c r="AA35" i="52"/>
  <c r="AB35" i="52" s="1"/>
  <c r="O35" i="52"/>
  <c r="R35" i="52" s="1"/>
  <c r="AA34" i="52"/>
  <c r="AB34" i="52" s="1"/>
  <c r="O34" i="52"/>
  <c r="R34" i="52" s="1"/>
  <c r="Z33" i="52"/>
  <c r="Y33" i="52"/>
  <c r="X33" i="52"/>
  <c r="V33" i="52"/>
  <c r="N33" i="52"/>
  <c r="M33" i="52"/>
  <c r="L33" i="52"/>
  <c r="AA32" i="52"/>
  <c r="AB32" i="52" s="1"/>
  <c r="O32" i="52"/>
  <c r="AA31" i="52"/>
  <c r="AB31" i="52" s="1"/>
  <c r="O31" i="52"/>
  <c r="R31" i="52" s="1"/>
  <c r="AA30" i="52"/>
  <c r="AB30" i="52" s="1"/>
  <c r="L30" i="52"/>
  <c r="Z29" i="52"/>
  <c r="Y29" i="52"/>
  <c r="X29" i="52"/>
  <c r="V29" i="52"/>
  <c r="N29" i="52"/>
  <c r="M29" i="52"/>
  <c r="AA24" i="52"/>
  <c r="AB24" i="52" s="1"/>
  <c r="O24" i="52"/>
  <c r="AA23" i="52"/>
  <c r="AB23" i="52" s="1"/>
  <c r="O23" i="52"/>
  <c r="AA22" i="52"/>
  <c r="AB22" i="52" s="1"/>
  <c r="O22" i="52"/>
  <c r="Z21" i="52"/>
  <c r="Y21" i="52"/>
  <c r="X21" i="52"/>
  <c r="V21" i="52"/>
  <c r="T21" i="52"/>
  <c r="R21" i="52"/>
  <c r="P21" i="52"/>
  <c r="N21" i="52"/>
  <c r="M21" i="52"/>
  <c r="L21" i="52"/>
  <c r="AA20" i="52"/>
  <c r="AB20" i="52" s="1"/>
  <c r="O20" i="52"/>
  <c r="AA19" i="52"/>
  <c r="AB19" i="52" s="1"/>
  <c r="O19" i="52"/>
  <c r="AA18" i="52"/>
  <c r="L18" i="52"/>
  <c r="O18" i="52" s="1"/>
  <c r="Z17" i="52"/>
  <c r="Z12" i="52" s="1"/>
  <c r="Z11" i="52" s="1"/>
  <c r="Z10" i="52" s="1"/>
  <c r="Y17" i="52"/>
  <c r="X17" i="52"/>
  <c r="V17" i="52"/>
  <c r="T17" i="52"/>
  <c r="N17" i="52"/>
  <c r="M17" i="52"/>
  <c r="L17" i="52"/>
  <c r="AA16" i="52"/>
  <c r="AB16" i="52" s="1"/>
  <c r="O16" i="52"/>
  <c r="AA15" i="52"/>
  <c r="AB15" i="52" s="1"/>
  <c r="O15" i="52"/>
  <c r="R15" i="52" s="1"/>
  <c r="AA14" i="52"/>
  <c r="AB14" i="52" s="1"/>
  <c r="L14" i="52"/>
  <c r="O14" i="52" s="1"/>
  <c r="Z13" i="52"/>
  <c r="Y13" i="52"/>
  <c r="X13" i="52"/>
  <c r="V13" i="52"/>
  <c r="T13" i="52"/>
  <c r="N13" i="52"/>
  <c r="M13" i="52"/>
  <c r="T12" i="52" l="1"/>
  <c r="AA219" i="52"/>
  <c r="R49" i="53"/>
  <c r="AD156" i="54"/>
  <c r="AA17" i="52"/>
  <c r="AB17" i="52" s="1"/>
  <c r="AA46" i="52"/>
  <c r="AB46" i="52" s="1"/>
  <c r="AA74" i="52"/>
  <c r="AA80" i="52"/>
  <c r="AA84" i="52"/>
  <c r="AB84" i="52" s="1"/>
  <c r="V49" i="53"/>
  <c r="T61" i="53"/>
  <c r="N346" i="52"/>
  <c r="N345" i="52" s="1"/>
  <c r="R9" i="53"/>
  <c r="R4" i="53" s="1"/>
  <c r="Q24" i="53"/>
  <c r="Q4" i="53" s="1"/>
  <c r="Y33" i="53"/>
  <c r="Y42" i="53"/>
  <c r="Y52" i="53"/>
  <c r="AA74" i="53"/>
  <c r="CF70" i="51" s="1"/>
  <c r="Z78" i="53"/>
  <c r="AB42" i="52"/>
  <c r="AB256" i="52"/>
  <c r="R24" i="53"/>
  <c r="Z29" i="53"/>
  <c r="Z33" i="53"/>
  <c r="Z42" i="53"/>
  <c r="J51" i="53"/>
  <c r="Z52" i="53"/>
  <c r="Z63" i="53"/>
  <c r="I77" i="53"/>
  <c r="I76" i="53" s="1"/>
  <c r="AA78" i="53"/>
  <c r="CF77" i="51" s="1"/>
  <c r="R14" i="52"/>
  <c r="P14" i="52"/>
  <c r="I10" i="53"/>
  <c r="Y10" i="53" s="1"/>
  <c r="T9" i="53"/>
  <c r="Z26" i="53"/>
  <c r="S24" i="53"/>
  <c r="S4" i="53" s="1"/>
  <c r="AA33" i="53"/>
  <c r="AA42" i="53"/>
  <c r="AA51" i="53"/>
  <c r="AA52" i="53"/>
  <c r="W61" i="53"/>
  <c r="I87" i="53"/>
  <c r="I92" i="53"/>
  <c r="Y92" i="53" s="1"/>
  <c r="Y94" i="53"/>
  <c r="Y95" i="53"/>
  <c r="Y96" i="53"/>
  <c r="BW97" i="51"/>
  <c r="AA96" i="52"/>
  <c r="AA513" i="52"/>
  <c r="Y21" i="53"/>
  <c r="T24" i="53"/>
  <c r="T4" i="53" s="1"/>
  <c r="AB29" i="53"/>
  <c r="AB33" i="53"/>
  <c r="AB42" i="53"/>
  <c r="AB64" i="53"/>
  <c r="CG43" i="51" s="1"/>
  <c r="J87" i="53"/>
  <c r="J92" i="53"/>
  <c r="Z92" i="53" s="1"/>
  <c r="Z94" i="53"/>
  <c r="Z95" i="53"/>
  <c r="Z96" i="53"/>
  <c r="BW75" i="51"/>
  <c r="I97" i="51"/>
  <c r="I5" i="51"/>
  <c r="L106" i="51"/>
  <c r="CE126" i="51"/>
  <c r="CE19" i="51"/>
  <c r="CF110" i="51"/>
  <c r="CE115" i="51"/>
  <c r="O70" i="52"/>
  <c r="O159" i="52"/>
  <c r="O175" i="52"/>
  <c r="O179" i="52"/>
  <c r="O248" i="52"/>
  <c r="O266" i="52"/>
  <c r="AB310" i="52"/>
  <c r="O356" i="52"/>
  <c r="R37" i="53"/>
  <c r="T37" i="53"/>
  <c r="X49" i="53"/>
  <c r="AB62" i="53"/>
  <c r="M61" i="53"/>
  <c r="T70" i="53"/>
  <c r="CG93" i="51"/>
  <c r="BU106" i="51"/>
  <c r="T150" i="51"/>
  <c r="AO150" i="51"/>
  <c r="AO149" i="51" s="1"/>
  <c r="K89" i="51"/>
  <c r="K124" i="51"/>
  <c r="AN150" i="51"/>
  <c r="AN149" i="51" s="1"/>
  <c r="Q134" i="51"/>
  <c r="P134" i="51"/>
  <c r="L51" i="51"/>
  <c r="L50" i="51" s="1"/>
  <c r="L112" i="51"/>
  <c r="BU61" i="51"/>
  <c r="BU60" i="51" s="1"/>
  <c r="BU59" i="51" s="1"/>
  <c r="BT61" i="51"/>
  <c r="BT60" i="51" s="1"/>
  <c r="BT59" i="51" s="1"/>
  <c r="BU51" i="51"/>
  <c r="BU50" i="51" s="1"/>
  <c r="BU27" i="51" s="1"/>
  <c r="BT51" i="51"/>
  <c r="BT50" i="51" s="1"/>
  <c r="BT27" i="51" s="1"/>
  <c r="I28" i="51"/>
  <c r="O84" i="52"/>
  <c r="O88" i="52"/>
  <c r="O219" i="52"/>
  <c r="AA223" i="52"/>
  <c r="AB223" i="52" s="1"/>
  <c r="T346" i="52"/>
  <c r="T345" i="52" s="1"/>
  <c r="Z346" i="52"/>
  <c r="Z345" i="52" s="1"/>
  <c r="O371" i="52"/>
  <c r="O370" i="52" s="1"/>
  <c r="O383" i="52"/>
  <c r="O521" i="52"/>
  <c r="I9" i="53"/>
  <c r="Y9" i="53" s="1"/>
  <c r="U17" i="53"/>
  <c r="Q37" i="53"/>
  <c r="S37" i="53"/>
  <c r="Q49" i="53"/>
  <c r="I68" i="53"/>
  <c r="Y68" i="53" s="1"/>
  <c r="M112" i="51"/>
  <c r="BY106" i="51"/>
  <c r="BX106" i="51"/>
  <c r="CG91" i="51"/>
  <c r="CG95" i="51"/>
  <c r="BY90" i="51"/>
  <c r="BY89" i="51" s="1"/>
  <c r="CC150" i="51"/>
  <c r="CC149" i="51" s="1"/>
  <c r="CB150" i="51"/>
  <c r="CB149" i="51" s="1"/>
  <c r="BE150" i="51"/>
  <c r="BE149" i="51" s="1"/>
  <c r="BD150" i="51"/>
  <c r="BD149" i="51" s="1"/>
  <c r="S149" i="51"/>
  <c r="K134" i="51"/>
  <c r="BY125" i="51"/>
  <c r="BY124" i="51" s="1"/>
  <c r="BX125" i="51"/>
  <c r="BX124" i="51" s="1"/>
  <c r="BY112" i="51"/>
  <c r="BX112" i="51"/>
  <c r="Q112" i="51"/>
  <c r="Q97" i="51" s="1"/>
  <c r="P112" i="51"/>
  <c r="P97" i="51" s="1"/>
  <c r="BS112" i="51"/>
  <c r="BS97" i="51" s="1"/>
  <c r="CF95" i="51"/>
  <c r="BX90" i="51"/>
  <c r="BX89" i="51" s="1"/>
  <c r="CD34" i="51"/>
  <c r="J33" i="51"/>
  <c r="CD13" i="51"/>
  <c r="AD17" i="54" s="1"/>
  <c r="J5" i="51"/>
  <c r="I69" i="51"/>
  <c r="I50" i="51"/>
  <c r="I20" i="51"/>
  <c r="I75" i="51"/>
  <c r="I149" i="51"/>
  <c r="BA150" i="51"/>
  <c r="BA149" i="51" s="1"/>
  <c r="AZ150" i="51"/>
  <c r="AZ149" i="51" s="1"/>
  <c r="AF150" i="51"/>
  <c r="AF149" i="51" s="1"/>
  <c r="BT119" i="51"/>
  <c r="BU120" i="51"/>
  <c r="BU119" i="51" s="1"/>
  <c r="BQ77" i="51"/>
  <c r="BQ76" i="51" s="1"/>
  <c r="BQ75" i="51" s="1"/>
  <c r="BP77" i="51"/>
  <c r="BP76" i="51" s="1"/>
  <c r="BP75" i="51" s="1"/>
  <c r="CD17" i="51"/>
  <c r="AD21" i="54" s="1"/>
  <c r="K17" i="51"/>
  <c r="CG119" i="51"/>
  <c r="BX134" i="51"/>
  <c r="T134" i="51"/>
  <c r="BW50" i="51"/>
  <c r="BU20" i="51"/>
  <c r="AB513" i="52"/>
  <c r="O503" i="52"/>
  <c r="Z379" i="52"/>
  <c r="Z378" i="52" s="1"/>
  <c r="O380" i="52"/>
  <c r="V379" i="52"/>
  <c r="V378" i="52" s="1"/>
  <c r="O386" i="52"/>
  <c r="O379" i="52" s="1"/>
  <c r="R363" i="52"/>
  <c r="O349" i="52"/>
  <c r="V363" i="52"/>
  <c r="V278" i="52"/>
  <c r="Z287" i="52"/>
  <c r="P265" i="52"/>
  <c r="L247" i="52"/>
  <c r="T247" i="52"/>
  <c r="AA252" i="52"/>
  <c r="AB252" i="52" s="1"/>
  <c r="P247" i="52"/>
  <c r="P246" i="52" s="1"/>
  <c r="X247" i="52"/>
  <c r="AA238" i="52"/>
  <c r="AB238" i="52" s="1"/>
  <c r="X229" i="52"/>
  <c r="O234" i="52"/>
  <c r="L229" i="52"/>
  <c r="N229" i="52"/>
  <c r="L188" i="52"/>
  <c r="R188" i="52"/>
  <c r="R187" i="52" s="1"/>
  <c r="O201" i="52"/>
  <c r="O200" i="52" s="1"/>
  <c r="O199" i="52" s="1"/>
  <c r="X188" i="52"/>
  <c r="X187" i="52" s="1"/>
  <c r="P188" i="52"/>
  <c r="P187" i="52" s="1"/>
  <c r="O195" i="52"/>
  <c r="O194" i="52" s="1"/>
  <c r="O190" i="52"/>
  <c r="O189" i="52" s="1"/>
  <c r="O163" i="52"/>
  <c r="M147" i="52"/>
  <c r="O148" i="52"/>
  <c r="O143" i="52"/>
  <c r="AA135" i="52"/>
  <c r="O131" i="52"/>
  <c r="AA123" i="52"/>
  <c r="AB123" i="52" s="1"/>
  <c r="O123" i="52"/>
  <c r="AA127" i="52"/>
  <c r="AB127" i="52" s="1"/>
  <c r="N102" i="52"/>
  <c r="Y102" i="52"/>
  <c r="AA102" i="52" s="1"/>
  <c r="V79" i="52"/>
  <c r="V78" i="52" s="1"/>
  <c r="O80" i="52"/>
  <c r="R56" i="52"/>
  <c r="P48" i="52"/>
  <c r="T42" i="52"/>
  <c r="N28" i="52"/>
  <c r="N27" i="52" s="1"/>
  <c r="N26" i="52" s="1"/>
  <c r="O21" i="52"/>
  <c r="M12" i="52"/>
  <c r="M11" i="52" s="1"/>
  <c r="M10" i="52" s="1"/>
  <c r="X12" i="52"/>
  <c r="X11" i="52" s="1"/>
  <c r="X10" i="52" s="1"/>
  <c r="V12" i="52"/>
  <c r="V11" i="52" s="1"/>
  <c r="V10" i="52" s="1"/>
  <c r="L90" i="51"/>
  <c r="BX51" i="51"/>
  <c r="P51" i="51"/>
  <c r="P50" i="51" s="1"/>
  <c r="P27" i="51" s="1"/>
  <c r="BX43" i="51"/>
  <c r="BY98" i="51"/>
  <c r="BX98" i="51"/>
  <c r="K6" i="51"/>
  <c r="U112" i="51"/>
  <c r="U97" i="51" s="1"/>
  <c r="T112" i="51"/>
  <c r="T97" i="51" s="1"/>
  <c r="L43" i="51"/>
  <c r="L125" i="51"/>
  <c r="BU77" i="51"/>
  <c r="BU76" i="51" s="1"/>
  <c r="BU75" i="51" s="1"/>
  <c r="BT77" i="51"/>
  <c r="BT76" i="51" s="1"/>
  <c r="BT75" i="51" s="1"/>
  <c r="BY77" i="51"/>
  <c r="BY76" i="51" s="1"/>
  <c r="BY75" i="51" s="1"/>
  <c r="BX77" i="51"/>
  <c r="BX76" i="51" s="1"/>
  <c r="U17" i="51"/>
  <c r="T17" i="51"/>
  <c r="CF124" i="51"/>
  <c r="CF149" i="51"/>
  <c r="CF92" i="51"/>
  <c r="CF111" i="51"/>
  <c r="X4" i="53"/>
  <c r="AB50" i="52"/>
  <c r="N79" i="52"/>
  <c r="N78" i="52" s="1"/>
  <c r="X102" i="52"/>
  <c r="V147" i="52"/>
  <c r="M247" i="52"/>
  <c r="Z247" i="52"/>
  <c r="V256" i="52"/>
  <c r="V247" i="52" s="1"/>
  <c r="P287" i="52"/>
  <c r="T363" i="52"/>
  <c r="T379" i="52"/>
  <c r="T378" i="52" s="1"/>
  <c r="Y17" i="53"/>
  <c r="Z25" i="53"/>
  <c r="AB31" i="53"/>
  <c r="L37" i="53"/>
  <c r="AB38" i="53"/>
  <c r="M57" i="53"/>
  <c r="AA64" i="53"/>
  <c r="CF43" i="51" s="1"/>
  <c r="Z73" i="53"/>
  <c r="AA103" i="52"/>
  <c r="AB103" i="52" s="1"/>
  <c r="AA151" i="52"/>
  <c r="AB151" i="52" s="1"/>
  <c r="AA155" i="52"/>
  <c r="AB155" i="52" s="1"/>
  <c r="O183" i="52"/>
  <c r="M188" i="52"/>
  <c r="L206" i="52"/>
  <c r="L205" i="52" s="1"/>
  <c r="AA207" i="52"/>
  <c r="AB207" i="52" s="1"/>
  <c r="AA211" i="52"/>
  <c r="AB211" i="52" s="1"/>
  <c r="O296" i="52"/>
  <c r="M346" i="52"/>
  <c r="M345" i="52" s="1"/>
  <c r="AA356" i="52"/>
  <c r="AB356" i="52" s="1"/>
  <c r="R379" i="52"/>
  <c r="Y87" i="53"/>
  <c r="N12" i="52"/>
  <c r="N11" i="52" s="1"/>
  <c r="N10" i="52" s="1"/>
  <c r="AA111" i="52"/>
  <c r="AB111" i="52" s="1"/>
  <c r="AA115" i="52"/>
  <c r="AB115" i="52" s="1"/>
  <c r="M206" i="52"/>
  <c r="M205" i="52" s="1"/>
  <c r="Z206" i="52"/>
  <c r="Z205" i="52" s="1"/>
  <c r="O223" i="52"/>
  <c r="O238" i="52"/>
  <c r="O252" i="52"/>
  <c r="AA257" i="52"/>
  <c r="AB257" i="52" s="1"/>
  <c r="AA261" i="52"/>
  <c r="AB261" i="52" s="1"/>
  <c r="X278" i="52"/>
  <c r="V287" i="52"/>
  <c r="T287" i="52"/>
  <c r="X308" i="52"/>
  <c r="P379" i="52"/>
  <c r="P378" i="52" s="1"/>
  <c r="L24" i="53"/>
  <c r="W49" i="53"/>
  <c r="Q70" i="53"/>
  <c r="Y70" i="53" s="1"/>
  <c r="Z74" i="53"/>
  <c r="Z87" i="53"/>
  <c r="O33" i="52"/>
  <c r="V28" i="52"/>
  <c r="V27" i="52" s="1"/>
  <c r="V26" i="52" s="1"/>
  <c r="X28" i="52"/>
  <c r="AB28" i="52" s="1"/>
  <c r="Z37" i="52"/>
  <c r="M102" i="52"/>
  <c r="L147" i="52"/>
  <c r="AA148" i="52"/>
  <c r="AB148" i="52" s="1"/>
  <c r="AA167" i="52"/>
  <c r="AB167" i="52" s="1"/>
  <c r="AA171" i="52"/>
  <c r="AB171" i="52" s="1"/>
  <c r="N206" i="52"/>
  <c r="N205" i="52" s="1"/>
  <c r="L278" i="52"/>
  <c r="L246" i="52" s="1"/>
  <c r="X287" i="52"/>
  <c r="AA308" i="52"/>
  <c r="P346" i="52"/>
  <c r="P345" i="52" s="1"/>
  <c r="P4" i="53"/>
  <c r="N61" i="53"/>
  <c r="N47" i="53" s="1"/>
  <c r="AA63" i="53"/>
  <c r="CF34" i="51" s="1"/>
  <c r="R61" i="53"/>
  <c r="R48" i="53" s="1"/>
  <c r="L54" i="52"/>
  <c r="Z28" i="52"/>
  <c r="Z27" i="52" s="1"/>
  <c r="Z26" i="52" s="1"/>
  <c r="N37" i="52"/>
  <c r="AB66" i="52"/>
  <c r="T265" i="52"/>
  <c r="Z363" i="52"/>
  <c r="Z58" i="53"/>
  <c r="AB63" i="53"/>
  <c r="CG34" i="51" s="1"/>
  <c r="O61" i="53"/>
  <c r="O47" i="53" s="1"/>
  <c r="L13" i="52"/>
  <c r="L12" i="52" s="1"/>
  <c r="L11" i="52" s="1"/>
  <c r="L10" i="52" s="1"/>
  <c r="T11" i="52"/>
  <c r="T10" i="52" s="1"/>
  <c r="X37" i="52"/>
  <c r="L42" i="52"/>
  <c r="Y28" i="52"/>
  <c r="Y27" i="52" s="1"/>
  <c r="Y26" i="52" s="1"/>
  <c r="AA13" i="52"/>
  <c r="AB13" i="52" s="1"/>
  <c r="P34" i="52"/>
  <c r="M37" i="52"/>
  <c r="P44" i="52"/>
  <c r="P42" i="52" s="1"/>
  <c r="AA62" i="52"/>
  <c r="AB62" i="52" s="1"/>
  <c r="AB74" i="52"/>
  <c r="X79" i="52"/>
  <c r="X78" i="52" s="1"/>
  <c r="P102" i="52"/>
  <c r="O151" i="52"/>
  <c r="O155" i="52"/>
  <c r="AB183" i="52"/>
  <c r="V188" i="52"/>
  <c r="V187" i="52" s="1"/>
  <c r="Y200" i="52"/>
  <c r="Y199" i="52" s="1"/>
  <c r="AA199" i="52" s="1"/>
  <c r="AB199" i="52" s="1"/>
  <c r="O270" i="52"/>
  <c r="M278" i="52"/>
  <c r="O352" i="52"/>
  <c r="R346" i="52"/>
  <c r="R345" i="52" s="1"/>
  <c r="N363" i="52"/>
  <c r="AB383" i="52"/>
  <c r="N379" i="52"/>
  <c r="N378" i="52" s="1"/>
  <c r="M513" i="52"/>
  <c r="Z6" i="53"/>
  <c r="J10" i="53"/>
  <c r="Z11" i="53"/>
  <c r="Z12" i="53"/>
  <c r="Z15" i="53"/>
  <c r="V17" i="53"/>
  <c r="Z17" i="53" s="1"/>
  <c r="Z21" i="53"/>
  <c r="AB26" i="53"/>
  <c r="U24" i="53"/>
  <c r="U4" i="53" s="1"/>
  <c r="Y31" i="53"/>
  <c r="I37" i="53"/>
  <c r="Y38" i="53"/>
  <c r="K50" i="53"/>
  <c r="AB51" i="53"/>
  <c r="AB52" i="53"/>
  <c r="Z59" i="53"/>
  <c r="I83" i="53"/>
  <c r="Y83" i="53" s="1"/>
  <c r="T35" i="52"/>
  <c r="AA70" i="52"/>
  <c r="AB70" i="52" s="1"/>
  <c r="O111" i="52"/>
  <c r="T206" i="52"/>
  <c r="T205" i="52" s="1"/>
  <c r="O211" i="52"/>
  <c r="O215" i="52"/>
  <c r="O230" i="52"/>
  <c r="L379" i="52"/>
  <c r="X379" i="52"/>
  <c r="X378" i="52" s="1"/>
  <c r="M379" i="52"/>
  <c r="AA6" i="53"/>
  <c r="K10" i="53"/>
  <c r="AA11" i="53"/>
  <c r="AA12" i="53"/>
  <c r="AA15" i="53"/>
  <c r="W17" i="53"/>
  <c r="AA17" i="53" s="1"/>
  <c r="AA21" i="53"/>
  <c r="V24" i="53"/>
  <c r="Z31" i="53"/>
  <c r="J37" i="53"/>
  <c r="Z38" i="53"/>
  <c r="AB50" i="53"/>
  <c r="S49" i="53"/>
  <c r="S47" i="53" s="1"/>
  <c r="Y67" i="53"/>
  <c r="U70" i="53"/>
  <c r="J83" i="53"/>
  <c r="Z83" i="53" s="1"/>
  <c r="M79" i="52"/>
  <c r="M78" i="52" s="1"/>
  <c r="Z79" i="52"/>
  <c r="Z78" i="52" s="1"/>
  <c r="V102" i="52"/>
  <c r="AA139" i="52"/>
  <c r="AB139" i="52" s="1"/>
  <c r="R147" i="52"/>
  <c r="O167" i="52"/>
  <c r="O171" i="52"/>
  <c r="O207" i="52"/>
  <c r="T229" i="52"/>
  <c r="P229" i="52"/>
  <c r="Y247" i="52"/>
  <c r="AA270" i="52"/>
  <c r="AB270" i="52" s="1"/>
  <c r="O310" i="52"/>
  <c r="R310" i="52" s="1"/>
  <c r="BF156" i="51" s="1"/>
  <c r="L346" i="52"/>
  <c r="L345" i="52" s="1"/>
  <c r="X346" i="52"/>
  <c r="X345" i="52" s="1"/>
  <c r="AA371" i="52"/>
  <c r="AB371" i="52" s="1"/>
  <c r="AB6" i="53"/>
  <c r="L10" i="53"/>
  <c r="AB11" i="53"/>
  <c r="AB12" i="53"/>
  <c r="AB15" i="53"/>
  <c r="X17" i="53"/>
  <c r="AB17" i="53" s="1"/>
  <c r="AB21" i="53"/>
  <c r="W24" i="53"/>
  <c r="AA31" i="53"/>
  <c r="K37" i="53"/>
  <c r="AA38" i="53"/>
  <c r="AB59" i="53"/>
  <c r="V61" i="53"/>
  <c r="V47" i="53" s="1"/>
  <c r="Z67" i="53"/>
  <c r="J72" i="53"/>
  <c r="J68" i="53" s="1"/>
  <c r="Z68" i="53" s="1"/>
  <c r="S73" i="53"/>
  <c r="AA73" i="53" s="1"/>
  <c r="R70" i="53"/>
  <c r="Z70" i="53" s="1"/>
  <c r="J79" i="53"/>
  <c r="Z79" i="53" s="1"/>
  <c r="K83" i="53"/>
  <c r="AA83" i="53" s="1"/>
  <c r="N188" i="52"/>
  <c r="T188" i="52"/>
  <c r="Z188" i="52"/>
  <c r="AA189" i="52"/>
  <c r="AB189" i="52" s="1"/>
  <c r="AA194" i="52"/>
  <c r="AB194" i="52" s="1"/>
  <c r="R247" i="52"/>
  <c r="M47" i="53"/>
  <c r="M48" i="53"/>
  <c r="AA59" i="53"/>
  <c r="K58" i="53"/>
  <c r="O57" i="53"/>
  <c r="S48" i="53"/>
  <c r="W48" i="53"/>
  <c r="W47" i="53"/>
  <c r="AA67" i="53"/>
  <c r="CF51" i="51" s="1"/>
  <c r="K66" i="53"/>
  <c r="Z72" i="53"/>
  <c r="AB78" i="53"/>
  <c r="CG77" i="51" s="1"/>
  <c r="L77" i="53"/>
  <c r="AB77" i="53" s="1"/>
  <c r="Y12" i="52"/>
  <c r="P31" i="52"/>
  <c r="R33" i="52"/>
  <c r="AA38" i="52"/>
  <c r="AB38" i="52" s="1"/>
  <c r="AA54" i="52"/>
  <c r="AB54" i="52" s="1"/>
  <c r="AA58" i="52"/>
  <c r="AB58" i="52" s="1"/>
  <c r="AB80" i="52"/>
  <c r="O115" i="52"/>
  <c r="O127" i="52"/>
  <c r="AB135" i="52"/>
  <c r="T147" i="52"/>
  <c r="Z147" i="52"/>
  <c r="Z101" i="52" s="1"/>
  <c r="Y188" i="52"/>
  <c r="V229" i="52"/>
  <c r="O242" i="52"/>
  <c r="O257" i="52"/>
  <c r="O274" i="52"/>
  <c r="O300" i="52"/>
  <c r="AA349" i="52"/>
  <c r="AB349" i="52" s="1"/>
  <c r="AA352" i="52"/>
  <c r="AB352" i="52" s="1"/>
  <c r="P363" i="52"/>
  <c r="X363" i="52"/>
  <c r="Y370" i="52"/>
  <c r="AA380" i="52"/>
  <c r="AB380" i="52" s="1"/>
  <c r="AB393" i="52"/>
  <c r="AA396" i="52"/>
  <c r="AB396" i="52" s="1"/>
  <c r="AA403" i="52"/>
  <c r="AB403" i="52" s="1"/>
  <c r="AA406" i="52"/>
  <c r="AB406" i="52" s="1"/>
  <c r="N405" i="52"/>
  <c r="N403" i="52" s="1"/>
  <c r="O48" i="53"/>
  <c r="Z62" i="53"/>
  <c r="J61" i="53"/>
  <c r="Z61" i="53" s="1"/>
  <c r="CF108" i="51"/>
  <c r="T31" i="52"/>
  <c r="O46" i="52"/>
  <c r="Y79" i="52"/>
  <c r="AA92" i="52"/>
  <c r="AB92" i="52" s="1"/>
  <c r="O103" i="52"/>
  <c r="O139" i="52"/>
  <c r="AA143" i="52"/>
  <c r="AB143" i="52" s="1"/>
  <c r="N147" i="52"/>
  <c r="AA159" i="52"/>
  <c r="AB159" i="52" s="1"/>
  <c r="AB175" i="52"/>
  <c r="AB201" i="52"/>
  <c r="Y206" i="52"/>
  <c r="AB219" i="52"/>
  <c r="AA234" i="52"/>
  <c r="AB234" i="52" s="1"/>
  <c r="O261" i="52"/>
  <c r="M265" i="52"/>
  <c r="R265" i="52"/>
  <c r="Y265" i="52"/>
  <c r="AA279" i="52"/>
  <c r="AB279" i="52" s="1"/>
  <c r="O279" i="52"/>
  <c r="R287" i="52"/>
  <c r="Y287" i="52"/>
  <c r="O304" i="52"/>
  <c r="Y346" i="52"/>
  <c r="AA364" i="52"/>
  <c r="AB364" i="52" s="1"/>
  <c r="O364" i="52"/>
  <c r="O363" i="52" s="1"/>
  <c r="Y379" i="52"/>
  <c r="M378" i="52"/>
  <c r="AA471" i="52"/>
  <c r="AB471" i="52" s="1"/>
  <c r="O471" i="52"/>
  <c r="AA503" i="52"/>
  <c r="AB503" i="52" s="1"/>
  <c r="T49" i="53"/>
  <c r="Y54" i="53"/>
  <c r="I51" i="53"/>
  <c r="P61" i="53"/>
  <c r="P48" i="53" s="1"/>
  <c r="X61" i="53"/>
  <c r="X48" i="53" s="1"/>
  <c r="U61" i="53"/>
  <c r="AB66" i="53"/>
  <c r="L65" i="53"/>
  <c r="AB65" i="53" s="1"/>
  <c r="AA21" i="52"/>
  <c r="AB21" i="52" s="1"/>
  <c r="M28" i="52"/>
  <c r="M27" i="52" s="1"/>
  <c r="M26" i="52" s="1"/>
  <c r="AA33" i="52"/>
  <c r="AB33" i="52" s="1"/>
  <c r="T34" i="52"/>
  <c r="T33" i="52" s="1"/>
  <c r="P35" i="52"/>
  <c r="P33" i="52" s="1"/>
  <c r="V37" i="52"/>
  <c r="AA88" i="52"/>
  <c r="AB88" i="52" s="1"/>
  <c r="AB96" i="52"/>
  <c r="AA107" i="52"/>
  <c r="AB107" i="52" s="1"/>
  <c r="O107" i="52"/>
  <c r="AA119" i="52"/>
  <c r="AB119" i="52" s="1"/>
  <c r="Y147" i="52"/>
  <c r="P147" i="52"/>
  <c r="X147" i="52"/>
  <c r="AA163" i="52"/>
  <c r="AB163" i="52" s="1"/>
  <c r="AA179" i="52"/>
  <c r="AB179" i="52" s="1"/>
  <c r="AA190" i="52"/>
  <c r="AB190" i="52" s="1"/>
  <c r="AA195" i="52"/>
  <c r="AB195" i="52" s="1"/>
  <c r="AA215" i="52"/>
  <c r="AB215" i="52" s="1"/>
  <c r="R229" i="52"/>
  <c r="Y229" i="52"/>
  <c r="AA242" i="52"/>
  <c r="AB242" i="52" s="1"/>
  <c r="N256" i="52"/>
  <c r="N247" i="52" s="1"/>
  <c r="N246" i="52" s="1"/>
  <c r="AA274" i="52"/>
  <c r="AB274" i="52" s="1"/>
  <c r="T278" i="52"/>
  <c r="Z278" i="52"/>
  <c r="AA278" i="52" s="1"/>
  <c r="AA283" i="52"/>
  <c r="AB283" i="52" s="1"/>
  <c r="O283" i="52"/>
  <c r="M287" i="52"/>
  <c r="O292" i="52"/>
  <c r="AA360" i="52"/>
  <c r="AB360" i="52" s="1"/>
  <c r="AA386" i="52"/>
  <c r="AB386" i="52" s="1"/>
  <c r="O390" i="52"/>
  <c r="AA390" i="52"/>
  <c r="AB390" i="52" s="1"/>
  <c r="O406" i="52"/>
  <c r="L405" i="52"/>
  <c r="L403" i="52" s="1"/>
  <c r="AA439" i="52"/>
  <c r="AB439" i="52" s="1"/>
  <c r="AB58" i="53"/>
  <c r="Y63" i="53"/>
  <c r="I62" i="53"/>
  <c r="Q61" i="53"/>
  <c r="Q48" i="53" s="1"/>
  <c r="Z64" i="53"/>
  <c r="L68" i="53"/>
  <c r="AB68" i="53" s="1"/>
  <c r="K69" i="53"/>
  <c r="AA69" i="53" s="1"/>
  <c r="X70" i="53"/>
  <c r="AB70" i="53" s="1"/>
  <c r="AB88" i="53"/>
  <c r="CG112" i="51" s="1"/>
  <c r="L87" i="53"/>
  <c r="AB87" i="53" s="1"/>
  <c r="AA507" i="52"/>
  <c r="AB507" i="52" s="1"/>
  <c r="AA514" i="52"/>
  <c r="AB514" i="52" s="1"/>
  <c r="O514" i="52"/>
  <c r="O1027" i="52"/>
  <c r="AB1027" i="52" s="1"/>
  <c r="O1040" i="52"/>
  <c r="I58" i="53"/>
  <c r="L61" i="53"/>
  <c r="K62" i="53"/>
  <c r="Y64" i="53"/>
  <c r="I66" i="53"/>
  <c r="AB67" i="53"/>
  <c r="CG51" i="51" s="1"/>
  <c r="J77" i="53"/>
  <c r="CF97" i="51"/>
  <c r="AB85" i="53"/>
  <c r="K87" i="53"/>
  <c r="AA87" i="53" s="1"/>
  <c r="AA520" i="52"/>
  <c r="AB520" i="52" s="1"/>
  <c r="O1033" i="52"/>
  <c r="AB1033" i="52" s="1"/>
  <c r="V4" i="53"/>
  <c r="AB25" i="53"/>
  <c r="J66" i="53"/>
  <c r="AB72" i="53"/>
  <c r="W70" i="53"/>
  <c r="AB73" i="53"/>
  <c r="K77" i="53"/>
  <c r="AA77" i="53" s="1"/>
  <c r="AA521" i="52"/>
  <c r="AB521" i="52" s="1"/>
  <c r="O520" i="52"/>
  <c r="L49" i="53"/>
  <c r="U49" i="53"/>
  <c r="U48" i="53" s="1"/>
  <c r="Y73" i="53"/>
  <c r="Y74" i="53"/>
  <c r="Z85" i="53"/>
  <c r="CE152" i="51"/>
  <c r="CF152" i="51" s="1"/>
  <c r="I24" i="53"/>
  <c r="M24" i="53"/>
  <c r="M4" i="53" s="1"/>
  <c r="M98" i="53" s="1"/>
  <c r="J24" i="53"/>
  <c r="N4" i="53"/>
  <c r="W4" i="53"/>
  <c r="K24" i="53"/>
  <c r="O24" i="53"/>
  <c r="O4" i="53" s="1"/>
  <c r="O98" i="53" s="1"/>
  <c r="M403" i="52"/>
  <c r="L96" i="52"/>
  <c r="L79" i="52" s="1"/>
  <c r="L78" i="52" s="1"/>
  <c r="L308" i="52"/>
  <c r="O394" i="52"/>
  <c r="R394" i="52" s="1"/>
  <c r="Y25" i="53"/>
  <c r="AA25" i="53"/>
  <c r="U47" i="53"/>
  <c r="Y26" i="53"/>
  <c r="AA26" i="53"/>
  <c r="Y29" i="53"/>
  <c r="AA29" i="53"/>
  <c r="AB79" i="53"/>
  <c r="AA79" i="53"/>
  <c r="Y72" i="53"/>
  <c r="AB74" i="53"/>
  <c r="CG70" i="51" s="1"/>
  <c r="AA80" i="53"/>
  <c r="CF90" i="51" s="1"/>
  <c r="P13" i="52"/>
  <c r="O13" i="52"/>
  <c r="R18" i="52"/>
  <c r="R17" i="52" s="1"/>
  <c r="N156" i="51" s="1"/>
  <c r="P18" i="52"/>
  <c r="P17" i="52" s="1"/>
  <c r="O17" i="52"/>
  <c r="AA29" i="52"/>
  <c r="AB29" i="52" s="1"/>
  <c r="T59" i="52"/>
  <c r="T58" i="52" s="1"/>
  <c r="P59" i="52"/>
  <c r="P58" i="52" s="1"/>
  <c r="O58" i="52"/>
  <c r="R59" i="52"/>
  <c r="R67" i="52"/>
  <c r="O66" i="52"/>
  <c r="T67" i="52"/>
  <c r="T66" i="52" s="1"/>
  <c r="T75" i="52"/>
  <c r="T74" i="52" s="1"/>
  <c r="R75" i="52"/>
  <c r="O74" i="52"/>
  <c r="R136" i="52"/>
  <c r="O135" i="52"/>
  <c r="T136" i="52"/>
  <c r="T135" i="52" s="1"/>
  <c r="T102" i="52" s="1"/>
  <c r="O30" i="52"/>
  <c r="L29" i="52"/>
  <c r="L28" i="52" s="1"/>
  <c r="L27" i="52" s="1"/>
  <c r="L26" i="52" s="1"/>
  <c r="R39" i="52"/>
  <c r="O38" i="52"/>
  <c r="T39" i="52"/>
  <c r="T38" i="52" s="1"/>
  <c r="R51" i="52"/>
  <c r="AD156" i="51" s="1"/>
  <c r="O50" i="52"/>
  <c r="T51" i="52"/>
  <c r="T50" i="52" s="1"/>
  <c r="T54" i="52"/>
  <c r="R97" i="52"/>
  <c r="O96" i="52"/>
  <c r="O79" i="52" s="1"/>
  <c r="O78" i="52" s="1"/>
  <c r="T97" i="52"/>
  <c r="T96" i="52" s="1"/>
  <c r="T79" i="52" s="1"/>
  <c r="T78" i="52" s="1"/>
  <c r="Y37" i="52"/>
  <c r="L38" i="52"/>
  <c r="O42" i="52"/>
  <c r="R43" i="52"/>
  <c r="P47" i="52"/>
  <c r="P46" i="52" s="1"/>
  <c r="L50" i="52"/>
  <c r="R52" i="52"/>
  <c r="O54" i="52"/>
  <c r="R55" i="52"/>
  <c r="L58" i="52"/>
  <c r="O62" i="52"/>
  <c r="R63" i="52"/>
  <c r="P98" i="52"/>
  <c r="P96" i="52" s="1"/>
  <c r="P79" i="52" s="1"/>
  <c r="P78" i="52" s="1"/>
  <c r="L135" i="52"/>
  <c r="L102" i="52" s="1"/>
  <c r="AA230" i="52"/>
  <c r="AB230" i="52" s="1"/>
  <c r="AA266" i="52"/>
  <c r="AB266" i="52" s="1"/>
  <c r="AA288" i="52"/>
  <c r="AB288" i="52" s="1"/>
  <c r="AA292" i="52"/>
  <c r="AB292" i="52" s="1"/>
  <c r="AA296" i="52"/>
  <c r="AB296" i="52" s="1"/>
  <c r="AA300" i="52"/>
  <c r="AB300" i="52" s="1"/>
  <c r="AA304" i="52"/>
  <c r="AB304" i="52" s="1"/>
  <c r="O308" i="52"/>
  <c r="O393" i="52"/>
  <c r="AA248" i="52"/>
  <c r="AB248" i="52" s="1"/>
  <c r="O289" i="52"/>
  <c r="O288" i="52" s="1"/>
  <c r="L288" i="52"/>
  <c r="L287" i="52" s="1"/>
  <c r="O439" i="52"/>
  <c r="P508" i="52"/>
  <c r="P507" i="52" s="1"/>
  <c r="P506" i="52" s="1"/>
  <c r="O513" i="52"/>
  <c r="O507" i="52" s="1"/>
  <c r="O506" i="52" s="1"/>
  <c r="AB1040" i="52"/>
  <c r="O397" i="52"/>
  <c r="L396" i="52"/>
  <c r="Y506" i="52"/>
  <c r="AA506" i="52" s="1"/>
  <c r="AB506" i="52" s="1"/>
  <c r="L507" i="52"/>
  <c r="L506" i="52" s="1"/>
  <c r="L1026" i="52"/>
  <c r="O1026" i="52" s="1"/>
  <c r="AB1026" i="52" s="1"/>
  <c r="L1032" i="52"/>
  <c r="O1032" i="52" s="1"/>
  <c r="AB1032" i="52" s="1"/>
  <c r="L1039" i="52"/>
  <c r="O1039" i="52" s="1"/>
  <c r="AB1039" i="52" s="1"/>
  <c r="M101" i="52" l="1"/>
  <c r="Y77" i="53"/>
  <c r="N98" i="53"/>
  <c r="AD38" i="54"/>
  <c r="I89" i="53"/>
  <c r="Y89" i="53" s="1"/>
  <c r="I4" i="53"/>
  <c r="Y4" i="53" s="1"/>
  <c r="W98" i="53"/>
  <c r="AB24" i="53"/>
  <c r="L187" i="52"/>
  <c r="J89" i="53"/>
  <c r="Z89" i="53" s="1"/>
  <c r="Z51" i="53"/>
  <c r="J50" i="53"/>
  <c r="V101" i="52"/>
  <c r="AA37" i="53"/>
  <c r="Z37" i="53"/>
  <c r="V48" i="53"/>
  <c r="Y37" i="53"/>
  <c r="V246" i="52"/>
  <c r="K68" i="53"/>
  <c r="AA68" i="53" s="1"/>
  <c r="AB37" i="53"/>
  <c r="BY97" i="51"/>
  <c r="BX97" i="51"/>
  <c r="CF107" i="51"/>
  <c r="M106" i="51"/>
  <c r="M125" i="51"/>
  <c r="BX75" i="51"/>
  <c r="R393" i="52"/>
  <c r="BJ156" i="51"/>
  <c r="R54" i="52"/>
  <c r="AH156" i="51"/>
  <c r="R38" i="52"/>
  <c r="V156" i="51"/>
  <c r="R58" i="52"/>
  <c r="AL156" i="51"/>
  <c r="R13" i="52"/>
  <c r="J156" i="51" s="1"/>
  <c r="U98" i="53"/>
  <c r="S98" i="53"/>
  <c r="V98" i="53"/>
  <c r="X47" i="53"/>
  <c r="X98" i="53" s="1"/>
  <c r="O229" i="52"/>
  <c r="L89" i="51"/>
  <c r="L101" i="52"/>
  <c r="R62" i="52"/>
  <c r="AP156" i="51"/>
  <c r="R42" i="52"/>
  <c r="Z156" i="51"/>
  <c r="R96" i="52"/>
  <c r="R79" i="52" s="1"/>
  <c r="R78" i="52" s="1"/>
  <c r="BB156" i="51"/>
  <c r="R135" i="52"/>
  <c r="R102" i="52" s="1"/>
  <c r="R101" i="52" s="1"/>
  <c r="BZ156" i="51"/>
  <c r="R74" i="52"/>
  <c r="AX156" i="51"/>
  <c r="R66" i="52"/>
  <c r="AT156" i="51"/>
  <c r="BT150" i="51"/>
  <c r="BT149" i="51" s="1"/>
  <c r="AB49" i="53"/>
  <c r="L76" i="53"/>
  <c r="AB76" i="53" s="1"/>
  <c r="U150" i="51"/>
  <c r="U149" i="51" s="1"/>
  <c r="Z187" i="52"/>
  <c r="P228" i="52"/>
  <c r="AA26" i="52"/>
  <c r="AB26" i="52" s="1"/>
  <c r="Z246" i="52"/>
  <c r="Z228" i="52" s="1"/>
  <c r="Z227" i="52" s="1"/>
  <c r="O188" i="52"/>
  <c r="X246" i="52"/>
  <c r="J27" i="51"/>
  <c r="CG109" i="51"/>
  <c r="BT112" i="51"/>
  <c r="L134" i="51"/>
  <c r="I4" i="51"/>
  <c r="I59" i="51"/>
  <c r="CG94" i="51"/>
  <c r="M51" i="51"/>
  <c r="AG150" i="51"/>
  <c r="AG149" i="51" s="1"/>
  <c r="T149" i="51"/>
  <c r="CG110" i="51"/>
  <c r="I96" i="51"/>
  <c r="BY134" i="51"/>
  <c r="BY51" i="51"/>
  <c r="BY50" i="51" s="1"/>
  <c r="BX50" i="51"/>
  <c r="M134" i="51"/>
  <c r="L124" i="51"/>
  <c r="M124" i="51"/>
  <c r="BY43" i="51"/>
  <c r="M17" i="51"/>
  <c r="K5" i="51"/>
  <c r="R378" i="52"/>
  <c r="O346" i="52"/>
  <c r="O345" i="52" s="1"/>
  <c r="L227" i="52"/>
  <c r="AB278" i="52"/>
  <c r="AA287" i="52"/>
  <c r="AB287" i="52" s="1"/>
  <c r="O265" i="52"/>
  <c r="AA247" i="52"/>
  <c r="AB247" i="52" s="1"/>
  <c r="V228" i="52"/>
  <c r="V227" i="52" s="1"/>
  <c r="X228" i="52"/>
  <c r="X227" i="52" s="1"/>
  <c r="L228" i="52"/>
  <c r="N228" i="52"/>
  <c r="N227" i="52" s="1"/>
  <c r="T187" i="52"/>
  <c r="N187" i="52"/>
  <c r="AA200" i="52"/>
  <c r="AB200" i="52" s="1"/>
  <c r="O147" i="52"/>
  <c r="T101" i="52"/>
  <c r="N101" i="52"/>
  <c r="N25" i="52" s="1"/>
  <c r="N9" i="52" s="1"/>
  <c r="O102" i="52"/>
  <c r="V25" i="52"/>
  <c r="V9" i="52" s="1"/>
  <c r="AA27" i="52"/>
  <c r="AA28" i="52"/>
  <c r="AB18" i="52" s="1"/>
  <c r="X27" i="52"/>
  <c r="X26" i="52" s="1"/>
  <c r="M43" i="51"/>
  <c r="Q51" i="51"/>
  <c r="Q50" i="51" s="1"/>
  <c r="Q27" i="51" s="1"/>
  <c r="L6" i="51"/>
  <c r="CG92" i="51"/>
  <c r="M90" i="51"/>
  <c r="CF96" i="51"/>
  <c r="CG97" i="51"/>
  <c r="Z10" i="53"/>
  <c r="J9" i="53"/>
  <c r="O287" i="52"/>
  <c r="T246" i="52"/>
  <c r="T228" i="52" s="1"/>
  <c r="T227" i="52" s="1"/>
  <c r="AB10" i="53"/>
  <c r="L9" i="53"/>
  <c r="Z25" i="52"/>
  <c r="Z9" i="52" s="1"/>
  <c r="AA10" i="53"/>
  <c r="K9" i="53"/>
  <c r="AB61" i="53"/>
  <c r="AB48" i="53" s="1"/>
  <c r="R47" i="53"/>
  <c r="R98" i="53" s="1"/>
  <c r="O378" i="52"/>
  <c r="N57" i="53"/>
  <c r="X101" i="52"/>
  <c r="P47" i="53"/>
  <c r="P98" i="53" s="1"/>
  <c r="AA50" i="53"/>
  <c r="K49" i="53"/>
  <c r="AA49" i="53" s="1"/>
  <c r="L75" i="53"/>
  <c r="Z24" i="53"/>
  <c r="J82" i="53"/>
  <c r="J81" i="53" s="1"/>
  <c r="Z81" i="53" s="1"/>
  <c r="I82" i="53"/>
  <c r="I81" i="53" s="1"/>
  <c r="Y81" i="53" s="1"/>
  <c r="P101" i="52"/>
  <c r="AB308" i="52"/>
  <c r="M187" i="52"/>
  <c r="M25" i="52" s="1"/>
  <c r="M9" i="52" s="1"/>
  <c r="N48" i="53"/>
  <c r="L57" i="53"/>
  <c r="O206" i="52"/>
  <c r="O205" i="52" s="1"/>
  <c r="S72" i="53"/>
  <c r="S70" i="53" s="1"/>
  <c r="AA70" i="53" s="1"/>
  <c r="AA147" i="52"/>
  <c r="AB147" i="52" s="1"/>
  <c r="M246" i="52"/>
  <c r="M228" i="52" s="1"/>
  <c r="M227" i="52" s="1"/>
  <c r="AB102" i="52"/>
  <c r="AA12" i="52"/>
  <c r="AB12" i="52" s="1"/>
  <c r="Y11" i="52"/>
  <c r="Z66" i="53"/>
  <c r="J65" i="53"/>
  <c r="AA62" i="53"/>
  <c r="K61" i="53"/>
  <c r="AA61" i="53" s="1"/>
  <c r="Y51" i="53"/>
  <c r="I50" i="53"/>
  <c r="O405" i="52"/>
  <c r="AA206" i="52"/>
  <c r="AB206" i="52" s="1"/>
  <c r="Y205" i="52"/>
  <c r="AA205" i="52" s="1"/>
  <c r="AB205" i="52" s="1"/>
  <c r="AA66" i="53"/>
  <c r="K65" i="53"/>
  <c r="AA65" i="53" s="1"/>
  <c r="R246" i="52"/>
  <c r="R228" i="52" s="1"/>
  <c r="Q47" i="53"/>
  <c r="Q98" i="53" s="1"/>
  <c r="AA265" i="52"/>
  <c r="AB265" i="52" s="1"/>
  <c r="Y246" i="52"/>
  <c r="Y76" i="53"/>
  <c r="I75" i="53"/>
  <c r="Y75" i="53" s="1"/>
  <c r="Y24" i="53"/>
  <c r="BU150" i="51"/>
  <c r="K82" i="53"/>
  <c r="Y62" i="53"/>
  <c r="I61" i="53"/>
  <c r="Y61" i="53" s="1"/>
  <c r="AA229" i="52"/>
  <c r="AB229" i="52" s="1"/>
  <c r="AA346" i="52"/>
  <c r="AB346" i="52" s="1"/>
  <c r="Y345" i="52"/>
  <c r="AA345" i="52" s="1"/>
  <c r="AB345" i="52" s="1"/>
  <c r="O278" i="52"/>
  <c r="P57" i="53"/>
  <c r="AA370" i="52"/>
  <c r="AB370" i="52" s="1"/>
  <c r="Y363" i="52"/>
  <c r="AA363" i="52" s="1"/>
  <c r="AB363" i="52" s="1"/>
  <c r="AA79" i="52"/>
  <c r="AB79" i="52" s="1"/>
  <c r="Y78" i="52"/>
  <c r="AA78" i="52" s="1"/>
  <c r="AB78" i="52" s="1"/>
  <c r="AA58" i="53"/>
  <c r="K57" i="53"/>
  <c r="AA57" i="53" s="1"/>
  <c r="K76" i="53"/>
  <c r="AA76" i="53" s="1"/>
  <c r="L82" i="53"/>
  <c r="J76" i="53"/>
  <c r="Z77" i="53"/>
  <c r="Y66" i="53"/>
  <c r="I65" i="53"/>
  <c r="Y65" i="53" s="1"/>
  <c r="Y58" i="53"/>
  <c r="T47" i="53"/>
  <c r="T98" i="53" s="1"/>
  <c r="T48" i="53"/>
  <c r="AA379" i="52"/>
  <c r="AB379" i="52" s="1"/>
  <c r="Y378" i="52"/>
  <c r="AA378" i="52" s="1"/>
  <c r="AB378" i="52" s="1"/>
  <c r="O256" i="52"/>
  <c r="O247" i="52" s="1"/>
  <c r="AA188" i="52"/>
  <c r="AB188" i="52" s="1"/>
  <c r="Y101" i="52"/>
  <c r="AA101" i="52" s="1"/>
  <c r="AA24" i="53"/>
  <c r="AB75" i="53"/>
  <c r="R308" i="52"/>
  <c r="P310" i="52"/>
  <c r="P308" i="52" s="1"/>
  <c r="W397" i="52"/>
  <c r="S397" i="52"/>
  <c r="O396" i="52"/>
  <c r="P397" i="52"/>
  <c r="P37" i="52"/>
  <c r="AA37" i="52"/>
  <c r="AB37" i="52" s="1"/>
  <c r="R50" i="52"/>
  <c r="O37" i="52"/>
  <c r="R12" i="52"/>
  <c r="R11" i="52" s="1"/>
  <c r="R10" i="52" s="1"/>
  <c r="P12" i="52"/>
  <c r="P11" i="52" s="1"/>
  <c r="P10" i="52" s="1"/>
  <c r="L37" i="52"/>
  <c r="L25" i="52" s="1"/>
  <c r="L9" i="52" s="1"/>
  <c r="T37" i="52"/>
  <c r="R30" i="52"/>
  <c r="T30" i="52"/>
  <c r="T29" i="52" s="1"/>
  <c r="T28" i="52" s="1"/>
  <c r="T27" i="52" s="1"/>
  <c r="T26" i="52" s="1"/>
  <c r="P30" i="52"/>
  <c r="P29" i="52" s="1"/>
  <c r="P28" i="52" s="1"/>
  <c r="P27" i="52" s="1"/>
  <c r="P26" i="52" s="1"/>
  <c r="O29" i="52"/>
  <c r="O28" i="52" s="1"/>
  <c r="O27" i="52" s="1"/>
  <c r="O26" i="52" s="1"/>
  <c r="O12" i="52"/>
  <c r="O11" i="52" s="1"/>
  <c r="O10" i="52" s="1"/>
  <c r="AB27" i="52"/>
  <c r="J49" i="53" l="1"/>
  <c r="Z49" i="53" s="1"/>
  <c r="Z48" i="53" s="1"/>
  <c r="Z50" i="53"/>
  <c r="O187" i="52"/>
  <c r="AA246" i="52"/>
  <c r="AB246" i="52" s="1"/>
  <c r="Z82" i="53"/>
  <c r="AA48" i="53"/>
  <c r="R37" i="52"/>
  <c r="R29" i="52"/>
  <c r="R156" i="51"/>
  <c r="BU149" i="51"/>
  <c r="M50" i="51"/>
  <c r="AB57" i="53"/>
  <c r="Z8" i="52"/>
  <c r="Z7" i="52" s="1"/>
  <c r="AE7" i="52" s="1"/>
  <c r="M89" i="51"/>
  <c r="O101" i="52"/>
  <c r="O25" i="52" s="1"/>
  <c r="O9" i="52" s="1"/>
  <c r="BT97" i="51"/>
  <c r="BU112" i="51"/>
  <c r="CD27" i="51"/>
  <c r="AD31" i="54" s="1"/>
  <c r="L5" i="51"/>
  <c r="M6" i="51"/>
  <c r="V8" i="52"/>
  <c r="V7" i="52" s="1"/>
  <c r="V529" i="52" s="1"/>
  <c r="L8" i="52"/>
  <c r="L7" i="52" s="1"/>
  <c r="Y228" i="52"/>
  <c r="Y227" i="52" s="1"/>
  <c r="AA227" i="52" s="1"/>
  <c r="AB227" i="52" s="1"/>
  <c r="N8" i="52"/>
  <c r="N7" i="52" s="1"/>
  <c r="X25" i="52"/>
  <c r="X9" i="52" s="1"/>
  <c r="X8" i="52" s="1"/>
  <c r="X7" i="52" s="1"/>
  <c r="K75" i="53"/>
  <c r="AA75" i="53" s="1"/>
  <c r="AB101" i="52"/>
  <c r="I57" i="53"/>
  <c r="Y57" i="53" s="1"/>
  <c r="Y82" i="53"/>
  <c r="AA9" i="53"/>
  <c r="K4" i="53"/>
  <c r="AA4" i="53" s="1"/>
  <c r="Z9" i="53"/>
  <c r="J4" i="53"/>
  <c r="Z4" i="53" s="1"/>
  <c r="AB9" i="53"/>
  <c r="L4" i="53"/>
  <c r="AB4" i="53" s="1"/>
  <c r="Y187" i="52"/>
  <c r="AA72" i="53"/>
  <c r="M8" i="52"/>
  <c r="M7" i="52" s="1"/>
  <c r="J75" i="53"/>
  <c r="Z75" i="53" s="1"/>
  <c r="Z76" i="53"/>
  <c r="P405" i="52"/>
  <c r="P403" i="52" s="1"/>
  <c r="O403" i="52"/>
  <c r="R405" i="52"/>
  <c r="BR156" i="51" s="1"/>
  <c r="O246" i="52"/>
  <c r="O228" i="52" s="1"/>
  <c r="L81" i="53"/>
  <c r="AB82" i="53"/>
  <c r="Y50" i="53"/>
  <c r="I49" i="53"/>
  <c r="Z65" i="53"/>
  <c r="J57" i="53"/>
  <c r="T25" i="52"/>
  <c r="T9" i="52" s="1"/>
  <c r="T8" i="52" s="1"/>
  <c r="T7" i="52" s="1"/>
  <c r="T529" i="52" s="1"/>
  <c r="K81" i="53"/>
  <c r="AA81" i="53" s="1"/>
  <c r="AA82" i="53"/>
  <c r="AA11" i="52"/>
  <c r="AB11" i="52" s="1"/>
  <c r="Y10" i="52"/>
  <c r="AA10" i="52" s="1"/>
  <c r="AB10" i="52" s="1"/>
  <c r="P25" i="52"/>
  <c r="P9" i="52" s="1"/>
  <c r="Q397" i="52"/>
  <c r="P396" i="52"/>
  <c r="P227" i="52" s="1"/>
  <c r="AA228" i="52" l="1"/>
  <c r="AB228" i="52" s="1"/>
  <c r="BU97" i="51"/>
  <c r="R28" i="52"/>
  <c r="R27" i="52" s="1"/>
  <c r="R26" i="52" s="1"/>
  <c r="R25" i="52" s="1"/>
  <c r="R9" i="52" s="1"/>
  <c r="AE14" i="52"/>
  <c r="M5" i="51"/>
  <c r="R403" i="52"/>
  <c r="R227" i="52" s="1"/>
  <c r="O227" i="52"/>
  <c r="O8" i="52" s="1"/>
  <c r="O7" i="52" s="1"/>
  <c r="AA187" i="52"/>
  <c r="AB187" i="52" s="1"/>
  <c r="Y25" i="52"/>
  <c r="Z57" i="53"/>
  <c r="J48" i="53"/>
  <c r="J47" i="53" s="1"/>
  <c r="K48" i="53"/>
  <c r="K47" i="53" s="1"/>
  <c r="K98" i="53" s="1"/>
  <c r="AA98" i="53" s="1"/>
  <c r="AB81" i="53"/>
  <c r="L48" i="53"/>
  <c r="L47" i="53" s="1"/>
  <c r="Y49" i="53"/>
  <c r="Y48" i="53" s="1"/>
  <c r="I48" i="53"/>
  <c r="I47" i="53" s="1"/>
  <c r="P8" i="52"/>
  <c r="P7" i="52" s="1"/>
  <c r="P529" i="52" s="1"/>
  <c r="R8" i="52" l="1"/>
  <c r="R7" i="52" s="1"/>
  <c r="R529" i="52" s="1"/>
  <c r="R527" i="52" s="1"/>
  <c r="CD156" i="51"/>
  <c r="AA47" i="53"/>
  <c r="AA25" i="52"/>
  <c r="AB25" i="52" s="1"/>
  <c r="Y9" i="52"/>
  <c r="I98" i="53"/>
  <c r="Y98" i="53" s="1"/>
  <c r="Y47" i="53"/>
  <c r="Z47" i="53"/>
  <c r="J98" i="53"/>
  <c r="Z98" i="53" s="1"/>
  <c r="AB47" i="53"/>
  <c r="L98" i="53"/>
  <c r="AB98" i="53" s="1"/>
  <c r="AA9" i="52" l="1"/>
  <c r="AB9" i="52" s="1"/>
  <c r="Y8" i="52"/>
  <c r="W15" i="52" l="1"/>
  <c r="AA8" i="52"/>
  <c r="Y7" i="52"/>
  <c r="AO11" i="54"/>
  <c r="AJ140" i="54"/>
  <c r="AJ131" i="54"/>
  <c r="AJ124" i="54"/>
  <c r="AJ117" i="54"/>
  <c r="AJ99" i="54"/>
  <c r="AJ98" i="54"/>
  <c r="AJ97" i="54"/>
  <c r="AJ96" i="54"/>
  <c r="AJ95" i="54"/>
  <c r="AJ91" i="54"/>
  <c r="AJ89" i="54"/>
  <c r="AJ83" i="54"/>
  <c r="AJ72" i="54"/>
  <c r="AJ71" i="54"/>
  <c r="AJ68" i="54"/>
  <c r="AJ67" i="54"/>
  <c r="AJ62" i="54"/>
  <c r="AJ40" i="54"/>
  <c r="AJ30" i="54"/>
  <c r="AJ29" i="54"/>
  <c r="AJ18" i="54"/>
  <c r="AJ16" i="54"/>
  <c r="AI140" i="54"/>
  <c r="AI135" i="54"/>
  <c r="AI130" i="54"/>
  <c r="AI117" i="54"/>
  <c r="AI99" i="54"/>
  <c r="AI98" i="54"/>
  <c r="AI97" i="54"/>
  <c r="AI96" i="54"/>
  <c r="AI95" i="54"/>
  <c r="AI91" i="54"/>
  <c r="AI89" i="54"/>
  <c r="AI72" i="54"/>
  <c r="AI71" i="54"/>
  <c r="AI68" i="54"/>
  <c r="AI67" i="54"/>
  <c r="AI62" i="54"/>
  <c r="AI40" i="54"/>
  <c r="AI30" i="54"/>
  <c r="AI29" i="54"/>
  <c r="AI20" i="54"/>
  <c r="AI16" i="54"/>
  <c r="AG140" i="54"/>
  <c r="AG131" i="54"/>
  <c r="AQ131" i="54" s="1"/>
  <c r="AR131" i="54" s="1"/>
  <c r="AG117" i="54"/>
  <c r="AG99" i="54"/>
  <c r="AG98" i="54"/>
  <c r="AG97" i="54"/>
  <c r="AG96" i="54"/>
  <c r="AG95" i="54"/>
  <c r="AG91" i="54"/>
  <c r="AG89" i="54"/>
  <c r="AG86" i="54"/>
  <c r="AQ86" i="54" s="1"/>
  <c r="AR86" i="54" s="1"/>
  <c r="AG84" i="54"/>
  <c r="AQ84" i="54" s="1"/>
  <c r="AR84" i="54" s="1"/>
  <c r="AG72" i="54"/>
  <c r="AQ72" i="54" s="1"/>
  <c r="AR72" i="54" s="1"/>
  <c r="AG71" i="54"/>
  <c r="AG68" i="54"/>
  <c r="AQ68" i="54" s="1"/>
  <c r="AR68" i="54" s="1"/>
  <c r="AG67" i="54"/>
  <c r="AG62" i="54"/>
  <c r="AG30" i="54"/>
  <c r="AG29" i="54"/>
  <c r="AQ29" i="54" s="1"/>
  <c r="AR29" i="54" s="1"/>
  <c r="AG28" i="54"/>
  <c r="AQ28" i="54" s="1"/>
  <c r="AR28" i="54" s="1"/>
  <c r="AG23" i="54"/>
  <c r="AQ23" i="54" s="1"/>
  <c r="AR23" i="54" s="1"/>
  <c r="AG22" i="54"/>
  <c r="AG20" i="54"/>
  <c r="AQ20" i="54" s="1"/>
  <c r="AR20" i="54" s="1"/>
  <c r="AG19" i="54"/>
  <c r="AQ19" i="54" s="1"/>
  <c r="AR19" i="54" s="1"/>
  <c r="AG18" i="54"/>
  <c r="AQ18" i="54" s="1"/>
  <c r="AR18" i="54" s="1"/>
  <c r="AG16" i="54"/>
  <c r="AQ16" i="54" s="1"/>
  <c r="AR16" i="54" s="1"/>
  <c r="AG13" i="54"/>
  <c r="AQ13" i="54" s="1"/>
  <c r="AR13" i="54" s="1"/>
  <c r="AJ159" i="54"/>
  <c r="AI159" i="54"/>
  <c r="AG159" i="54"/>
  <c r="AJ158" i="54"/>
  <c r="AG158" i="54"/>
  <c r="AJ157" i="54"/>
  <c r="AI157" i="54"/>
  <c r="AG157" i="54"/>
  <c r="CI152" i="51"/>
  <c r="AJ152" i="54"/>
  <c r="AG152" i="54"/>
  <c r="CD148" i="51"/>
  <c r="AJ151" i="54"/>
  <c r="AI151" i="54"/>
  <c r="AG151" i="54"/>
  <c r="CD147" i="51"/>
  <c r="AJ150" i="54"/>
  <c r="AG150" i="54"/>
  <c r="CD146" i="51"/>
  <c r="AJ149" i="54"/>
  <c r="AG149" i="54"/>
  <c r="CD145" i="51"/>
  <c r="AJ148" i="54"/>
  <c r="AG148" i="54"/>
  <c r="CD144" i="51"/>
  <c r="AJ147" i="54"/>
  <c r="AI147" i="54"/>
  <c r="AG147" i="54"/>
  <c r="CD143" i="51"/>
  <c r="AJ146" i="54"/>
  <c r="AG146" i="54"/>
  <c r="CD142" i="51"/>
  <c r="AJ145" i="54"/>
  <c r="AG145" i="54"/>
  <c r="AQ145" i="54" s="1"/>
  <c r="AR145" i="54" s="1"/>
  <c r="CD141" i="51"/>
  <c r="AJ144" i="54"/>
  <c r="AG144" i="54"/>
  <c r="CD140" i="51"/>
  <c r="AJ143" i="54"/>
  <c r="AI143" i="54"/>
  <c r="AG143" i="54"/>
  <c r="CD139" i="51"/>
  <c r="AJ142" i="54"/>
  <c r="AG142" i="54"/>
  <c r="CD138" i="51"/>
  <c r="R133" i="51"/>
  <c r="CD136" i="51"/>
  <c r="CD135" i="51"/>
  <c r="CC133" i="51"/>
  <c r="CB133" i="51"/>
  <c r="BZ133" i="51"/>
  <c r="BW133" i="51"/>
  <c r="BV133" i="51"/>
  <c r="BT133" i="51"/>
  <c r="BS133" i="51"/>
  <c r="BR133" i="51"/>
  <c r="BQ133" i="51"/>
  <c r="BP133" i="51"/>
  <c r="BO133" i="51"/>
  <c r="BN133" i="51"/>
  <c r="BJ133" i="51"/>
  <c r="BF133" i="51"/>
  <c r="BD133" i="51"/>
  <c r="BC133" i="51"/>
  <c r="BB133" i="51"/>
  <c r="BA133" i="51"/>
  <c r="AZ133" i="51"/>
  <c r="AY133" i="51"/>
  <c r="AX133" i="51"/>
  <c r="AW133" i="51"/>
  <c r="AV133" i="51"/>
  <c r="AU133" i="51"/>
  <c r="AT133" i="51"/>
  <c r="AR133" i="51"/>
  <c r="AQ133" i="51"/>
  <c r="AP133" i="51"/>
  <c r="AN133" i="51"/>
  <c r="AM133" i="51"/>
  <c r="AL133" i="51"/>
  <c r="AK133" i="51"/>
  <c r="AJ133" i="51"/>
  <c r="AI133" i="51"/>
  <c r="AH133" i="51"/>
  <c r="AG133" i="51"/>
  <c r="AF133" i="51"/>
  <c r="AE133" i="51"/>
  <c r="AD133" i="51"/>
  <c r="AC133" i="51"/>
  <c r="AB133" i="51"/>
  <c r="AA133" i="51"/>
  <c r="Z133" i="51"/>
  <c r="X133" i="51"/>
  <c r="W133" i="51"/>
  <c r="V133" i="51"/>
  <c r="Q133" i="51"/>
  <c r="P133" i="51"/>
  <c r="O133" i="51"/>
  <c r="N133" i="51"/>
  <c r="L133" i="51"/>
  <c r="K133" i="51"/>
  <c r="CA133" i="51"/>
  <c r="BU133" i="51"/>
  <c r="BE133" i="51"/>
  <c r="AS133" i="51"/>
  <c r="AO133" i="51"/>
  <c r="Y133" i="51"/>
  <c r="M133" i="51"/>
  <c r="AI136" i="54"/>
  <c r="CI132" i="51"/>
  <c r="AG135" i="54"/>
  <c r="AQ135" i="54" s="1"/>
  <c r="AR135" i="54" s="1"/>
  <c r="CD131" i="51"/>
  <c r="AI134" i="54"/>
  <c r="CD130" i="51"/>
  <c r="AG133" i="54"/>
  <c r="AQ133" i="54" s="1"/>
  <c r="AR133" i="54" s="1"/>
  <c r="CD129" i="51"/>
  <c r="AI132" i="54"/>
  <c r="CD128" i="51"/>
  <c r="CD127" i="51"/>
  <c r="CD126" i="51"/>
  <c r="CG123" i="51"/>
  <c r="CF123" i="51"/>
  <c r="CE123" i="51"/>
  <c r="CD123" i="51"/>
  <c r="AI126" i="54"/>
  <c r="CE122" i="51"/>
  <c r="CD122" i="51"/>
  <c r="CG121" i="51"/>
  <c r="CF121" i="51"/>
  <c r="CD121" i="51"/>
  <c r="AJ122" i="54"/>
  <c r="CD118" i="51"/>
  <c r="AI121" i="54"/>
  <c r="CD117" i="51"/>
  <c r="AJ120" i="54"/>
  <c r="AG120" i="54"/>
  <c r="CD116" i="51"/>
  <c r="AI119" i="54"/>
  <c r="CD115" i="51"/>
  <c r="AJ118" i="54"/>
  <c r="AG118" i="54"/>
  <c r="CD114" i="51"/>
  <c r="CD113" i="51"/>
  <c r="AG115" i="54"/>
  <c r="CD111" i="51"/>
  <c r="AI114" i="54"/>
  <c r="CD110" i="51"/>
  <c r="AJ113" i="54"/>
  <c r="CD109" i="51"/>
  <c r="CD108" i="51"/>
  <c r="AI111" i="54"/>
  <c r="CD107" i="51"/>
  <c r="AI109" i="54"/>
  <c r="CD105" i="51"/>
  <c r="AG107" i="54"/>
  <c r="CD103" i="51"/>
  <c r="AJ103" i="54"/>
  <c r="AG103" i="54"/>
  <c r="CD99" i="51"/>
  <c r="AJ102" i="54"/>
  <c r="J24" i="29" s="1"/>
  <c r="CD95" i="51"/>
  <c r="CD94" i="51"/>
  <c r="CD93" i="51"/>
  <c r="CD92" i="51"/>
  <c r="CD91" i="51"/>
  <c r="AJ94" i="54"/>
  <c r="AI92" i="54"/>
  <c r="CD88" i="51"/>
  <c r="CD87" i="51"/>
  <c r="AI90" i="54"/>
  <c r="CD86" i="51"/>
  <c r="CD85" i="51"/>
  <c r="AJ88" i="54"/>
  <c r="AI88" i="54"/>
  <c r="AG88" i="54"/>
  <c r="AQ88" i="54" s="1"/>
  <c r="AR88" i="54" s="1"/>
  <c r="CD84" i="51"/>
  <c r="CD82" i="51"/>
  <c r="AJ84" i="54"/>
  <c r="CD80" i="51"/>
  <c r="CD79" i="51"/>
  <c r="CD74" i="51"/>
  <c r="CG73" i="51"/>
  <c r="CF73" i="51"/>
  <c r="CE73" i="51"/>
  <c r="CD73" i="51"/>
  <c r="CG72" i="51"/>
  <c r="CF72" i="51"/>
  <c r="CE72" i="51"/>
  <c r="CD72" i="51"/>
  <c r="CD71" i="51"/>
  <c r="CD68" i="51"/>
  <c r="CD67" i="51"/>
  <c r="CD64" i="51"/>
  <c r="CD63" i="51"/>
  <c r="CD62" i="51"/>
  <c r="CI58" i="51"/>
  <c r="AG61" i="54"/>
  <c r="AQ61" i="54" s="1"/>
  <c r="AR61" i="54" s="1"/>
  <c r="CD57" i="51"/>
  <c r="AG60" i="54"/>
  <c r="CD56" i="51"/>
  <c r="AJ59" i="54"/>
  <c r="AG59" i="54"/>
  <c r="CD55" i="51"/>
  <c r="AJ58" i="54"/>
  <c r="AI58" i="54"/>
  <c r="CE54" i="51"/>
  <c r="CD54" i="51"/>
  <c r="AJ57" i="54"/>
  <c r="AI57" i="54"/>
  <c r="CE53" i="51"/>
  <c r="CD53" i="51"/>
  <c r="AJ56" i="54"/>
  <c r="CE52" i="51"/>
  <c r="CD52" i="51"/>
  <c r="AJ53" i="54"/>
  <c r="AI53" i="54"/>
  <c r="AG53" i="54"/>
  <c r="CD49" i="51"/>
  <c r="AJ52" i="54"/>
  <c r="CE48" i="51"/>
  <c r="CD48" i="51"/>
  <c r="AJ51" i="54"/>
  <c r="CE47" i="51"/>
  <c r="CD47" i="51"/>
  <c r="AJ50" i="54"/>
  <c r="AG50" i="54"/>
  <c r="AQ50" i="54" s="1"/>
  <c r="AR50" i="54" s="1"/>
  <c r="CD46" i="51"/>
  <c r="AJ49" i="54"/>
  <c r="CE45" i="51"/>
  <c r="CD45" i="51"/>
  <c r="AJ48" i="54"/>
  <c r="CE44" i="51"/>
  <c r="CD44" i="51"/>
  <c r="AJ47" i="54"/>
  <c r="CD42" i="51"/>
  <c r="CD41" i="51"/>
  <c r="AJ44" i="54"/>
  <c r="CE40" i="51"/>
  <c r="CD40" i="51"/>
  <c r="AJ43" i="54"/>
  <c r="CE39" i="51"/>
  <c r="CD39" i="51"/>
  <c r="CD38" i="51"/>
  <c r="AI41" i="54"/>
  <c r="CD37" i="51"/>
  <c r="CE37" i="51"/>
  <c r="CE36" i="51"/>
  <c r="CD36" i="51"/>
  <c r="CG35" i="51"/>
  <c r="CF35" i="51"/>
  <c r="CE35" i="51"/>
  <c r="CD35" i="51"/>
  <c r="CG32" i="51"/>
  <c r="CF32" i="51"/>
  <c r="CE32" i="51"/>
  <c r="CD32" i="51"/>
  <c r="CG31" i="51"/>
  <c r="CF31" i="51"/>
  <c r="CE31" i="51"/>
  <c r="CD31" i="51"/>
  <c r="CG30" i="51"/>
  <c r="CF30" i="51"/>
  <c r="CE30" i="51"/>
  <c r="CD30" i="51"/>
  <c r="CD26" i="51"/>
  <c r="CD25" i="51"/>
  <c r="CD24" i="51"/>
  <c r="CG23" i="51"/>
  <c r="CF23" i="51"/>
  <c r="CE23" i="51"/>
  <c r="CD23" i="51"/>
  <c r="CG22" i="51"/>
  <c r="CF22" i="51"/>
  <c r="CE22" i="51"/>
  <c r="CD22" i="51"/>
  <c r="AJ25" i="54"/>
  <c r="CF20" i="51"/>
  <c r="AI23" i="54"/>
  <c r="CD19" i="51"/>
  <c r="AJ22" i="54"/>
  <c r="AI22" i="54"/>
  <c r="AI21" i="54"/>
  <c r="AJ20" i="54"/>
  <c r="CD16" i="51"/>
  <c r="CG15" i="51"/>
  <c r="CF15" i="51"/>
  <c r="CD15" i="51"/>
  <c r="AI17" i="54"/>
  <c r="CD14" i="51"/>
  <c r="AJ17" i="54"/>
  <c r="AG17" i="54"/>
  <c r="CD12" i="51"/>
  <c r="CD11" i="51"/>
  <c r="AI6" i="51"/>
  <c r="AI5" i="51" s="1"/>
  <c r="CG10" i="51"/>
  <c r="CF10" i="51"/>
  <c r="CE10" i="51"/>
  <c r="CD10" i="51"/>
  <c r="CC6" i="51"/>
  <c r="CC5" i="51" s="1"/>
  <c r="CB6" i="51"/>
  <c r="CB5" i="51" s="1"/>
  <c r="CA6" i="51"/>
  <c r="CA5" i="51" s="1"/>
  <c r="BZ6" i="51"/>
  <c r="BZ5" i="51" s="1"/>
  <c r="BR6" i="51"/>
  <c r="BR5" i="51" s="1"/>
  <c r="BQ6" i="51"/>
  <c r="BQ5" i="51" s="1"/>
  <c r="BQ4" i="51" s="1"/>
  <c r="BP6" i="51"/>
  <c r="BP5" i="51" s="1"/>
  <c r="BP4" i="51" s="1"/>
  <c r="BO6" i="51"/>
  <c r="BO5" i="51" s="1"/>
  <c r="BO4" i="51" s="1"/>
  <c r="BN6" i="51"/>
  <c r="BN5" i="51" s="1"/>
  <c r="BN4" i="51" s="1"/>
  <c r="BE6" i="51"/>
  <c r="BE5" i="51" s="1"/>
  <c r="BD6" i="51"/>
  <c r="BD5" i="51" s="1"/>
  <c r="BC6" i="51"/>
  <c r="BC5" i="51" s="1"/>
  <c r="BB6" i="51"/>
  <c r="BB5" i="51" s="1"/>
  <c r="BA6" i="51"/>
  <c r="BA5" i="51" s="1"/>
  <c r="AZ6" i="51"/>
  <c r="AZ5" i="51" s="1"/>
  <c r="AY6" i="51"/>
  <c r="AY5" i="51" s="1"/>
  <c r="AX6" i="51"/>
  <c r="AX5" i="51" s="1"/>
  <c r="AW6" i="51"/>
  <c r="AW5" i="51" s="1"/>
  <c r="AV6" i="51"/>
  <c r="AV5" i="51" s="1"/>
  <c r="AU6" i="51"/>
  <c r="AU5" i="51" s="1"/>
  <c r="AT6" i="51"/>
  <c r="AT5" i="51" s="1"/>
  <c r="AS6" i="51"/>
  <c r="AS5" i="51" s="1"/>
  <c r="AR6" i="51"/>
  <c r="AR5" i="51" s="1"/>
  <c r="AQ6" i="51"/>
  <c r="AQ5" i="51" s="1"/>
  <c r="AP6" i="51"/>
  <c r="AP5" i="51" s="1"/>
  <c r="AO6" i="51"/>
  <c r="AO5" i="51" s="1"/>
  <c r="AN6" i="51"/>
  <c r="AN5" i="51" s="1"/>
  <c r="AM6" i="51"/>
  <c r="AM5" i="51" s="1"/>
  <c r="AL6" i="51"/>
  <c r="AL5" i="51" s="1"/>
  <c r="AG6" i="51"/>
  <c r="AF6" i="51"/>
  <c r="AE6" i="51"/>
  <c r="AE5" i="51" s="1"/>
  <c r="AD6" i="51"/>
  <c r="AD5" i="51" s="1"/>
  <c r="AC6" i="51"/>
  <c r="AC5" i="51" s="1"/>
  <c r="AB6" i="51"/>
  <c r="AB5" i="51" s="1"/>
  <c r="AA6" i="51"/>
  <c r="AA5" i="51" s="1"/>
  <c r="Z6" i="51"/>
  <c r="Z5" i="51" s="1"/>
  <c r="Y6" i="51"/>
  <c r="Y5" i="51" s="1"/>
  <c r="X6" i="51"/>
  <c r="X5" i="51" s="1"/>
  <c r="W6" i="51"/>
  <c r="W5" i="51" s="1"/>
  <c r="V6" i="51"/>
  <c r="V5" i="51" s="1"/>
  <c r="Q6" i="51"/>
  <c r="Q5" i="51" s="1"/>
  <c r="P6" i="51"/>
  <c r="P5" i="51" s="1"/>
  <c r="O6" i="51"/>
  <c r="O5" i="51" s="1"/>
  <c r="AJ12" i="54"/>
  <c r="AI12" i="54"/>
  <c r="CE8" i="51"/>
  <c r="CD8" i="51"/>
  <c r="AH6" i="51"/>
  <c r="AH5" i="51" s="1"/>
  <c r="AO159" i="54"/>
  <c r="Y159" i="54"/>
  <c r="Z159" i="54" s="1"/>
  <c r="M159" i="54"/>
  <c r="L159" i="54"/>
  <c r="K159" i="54"/>
  <c r="AO158" i="54"/>
  <c r="Y158" i="54"/>
  <c r="Z158" i="54" s="1"/>
  <c r="M158" i="54"/>
  <c r="L158" i="54"/>
  <c r="K158" i="54"/>
  <c r="AO157" i="54"/>
  <c r="Y157" i="54"/>
  <c r="Z157" i="54" s="1"/>
  <c r="M157" i="54"/>
  <c r="L157" i="54"/>
  <c r="K157" i="54"/>
  <c r="AO156" i="54"/>
  <c r="Y156" i="54"/>
  <c r="Z156" i="54" s="1"/>
  <c r="M156" i="54"/>
  <c r="L156" i="54"/>
  <c r="K156" i="54"/>
  <c r="AO155" i="54"/>
  <c r="Y155" i="54"/>
  <c r="Z155" i="54" s="1"/>
  <c r="M155" i="54"/>
  <c r="L155" i="54"/>
  <c r="K155" i="54"/>
  <c r="AN154" i="54"/>
  <c r="AN153" i="54" s="1"/>
  <c r="AM154" i="54"/>
  <c r="AF154" i="54"/>
  <c r="AF153" i="54" s="1"/>
  <c r="AP153" i="54"/>
  <c r="AE153" i="54"/>
  <c r="AO152" i="54"/>
  <c r="Y152" i="54"/>
  <c r="Z152" i="54" s="1"/>
  <c r="M152" i="54"/>
  <c r="L152" i="54"/>
  <c r="K152" i="54"/>
  <c r="AO151" i="54"/>
  <c r="Y151" i="54"/>
  <c r="Z151" i="54" s="1"/>
  <c r="M151" i="54"/>
  <c r="L151" i="54"/>
  <c r="K151" i="54"/>
  <c r="AO150" i="54"/>
  <c r="Y150" i="54"/>
  <c r="Z150" i="54" s="1"/>
  <c r="L150" i="54"/>
  <c r="K150" i="54"/>
  <c r="AO149" i="54"/>
  <c r="Y149" i="54"/>
  <c r="Z149" i="54" s="1"/>
  <c r="M149" i="54"/>
  <c r="L149" i="54"/>
  <c r="K149" i="54"/>
  <c r="AO148" i="54"/>
  <c r="Y148" i="54"/>
  <c r="Z148" i="54" s="1"/>
  <c r="M148" i="54"/>
  <c r="AO147" i="54"/>
  <c r="Y147" i="54"/>
  <c r="Z147" i="54" s="1"/>
  <c r="L147" i="54"/>
  <c r="K147" i="54"/>
  <c r="AO146" i="54"/>
  <c r="Y146" i="54"/>
  <c r="Z146" i="54" s="1"/>
  <c r="L146" i="54"/>
  <c r="K146" i="54"/>
  <c r="AO145" i="54"/>
  <c r="Y145" i="54"/>
  <c r="Z145" i="54" s="1"/>
  <c r="M145" i="54"/>
  <c r="L145" i="54"/>
  <c r="K145" i="54"/>
  <c r="AO144" i="54"/>
  <c r="Y144" i="54"/>
  <c r="Z144" i="54" s="1"/>
  <c r="L144" i="54"/>
  <c r="K144" i="54"/>
  <c r="AO143" i="54"/>
  <c r="Y143" i="54"/>
  <c r="Z143" i="54" s="1"/>
  <c r="M143" i="54"/>
  <c r="L143" i="54"/>
  <c r="K143" i="54"/>
  <c r="AO142" i="54"/>
  <c r="Y142" i="54"/>
  <c r="Z142" i="54" s="1"/>
  <c r="M142" i="54"/>
  <c r="L142" i="54"/>
  <c r="K142" i="54"/>
  <c r="AO141" i="54"/>
  <c r="Y141" i="54"/>
  <c r="Z141" i="54" s="1"/>
  <c r="M141" i="54"/>
  <c r="L141" i="54"/>
  <c r="K141" i="54"/>
  <c r="AO140" i="54"/>
  <c r="Y140" i="54"/>
  <c r="Z140" i="54" s="1"/>
  <c r="M140" i="54"/>
  <c r="L140" i="54"/>
  <c r="K140" i="54"/>
  <c r="AO139" i="54"/>
  <c r="Y139" i="54"/>
  <c r="Z139" i="54" s="1"/>
  <c r="M139" i="54"/>
  <c r="L139" i="54"/>
  <c r="K139" i="54"/>
  <c r="AN138" i="54"/>
  <c r="AN137" i="54" s="1"/>
  <c r="AM138" i="54"/>
  <c r="AM137" i="54" s="1"/>
  <c r="AF138" i="54"/>
  <c r="AF137" i="54" s="1"/>
  <c r="AP137" i="54"/>
  <c r="AE137" i="54"/>
  <c r="AO136" i="54"/>
  <c r="Y136" i="54"/>
  <c r="Z136" i="54" s="1"/>
  <c r="M136" i="54"/>
  <c r="L136" i="54"/>
  <c r="K136" i="54"/>
  <c r="AO135" i="54"/>
  <c r="Y135" i="54"/>
  <c r="Z135" i="54" s="1"/>
  <c r="M135" i="54"/>
  <c r="L135" i="54"/>
  <c r="K135" i="54"/>
  <c r="AO134" i="54"/>
  <c r="Y134" i="54"/>
  <c r="Z134" i="54" s="1"/>
  <c r="M134" i="54"/>
  <c r="L134" i="54"/>
  <c r="K134" i="54"/>
  <c r="AO133" i="54"/>
  <c r="Y133" i="54"/>
  <c r="Z133" i="54" s="1"/>
  <c r="M133" i="54"/>
  <c r="L133" i="54"/>
  <c r="K133" i="54"/>
  <c r="AO132" i="54"/>
  <c r="Y132" i="54"/>
  <c r="Z132" i="54" s="1"/>
  <c r="M132" i="54"/>
  <c r="L132" i="54"/>
  <c r="K132" i="54"/>
  <c r="AO131" i="54"/>
  <c r="Y131" i="54"/>
  <c r="Z131" i="54" s="1"/>
  <c r="M131" i="54"/>
  <c r="L131" i="54"/>
  <c r="K131" i="54"/>
  <c r="AO130" i="54"/>
  <c r="Y130" i="54"/>
  <c r="Z130" i="54" s="1"/>
  <c r="M130" i="54"/>
  <c r="L130" i="54"/>
  <c r="K130" i="54"/>
  <c r="AN129" i="54"/>
  <c r="AM129" i="54"/>
  <c r="AM128" i="54" s="1"/>
  <c r="AF129" i="54"/>
  <c r="AF128" i="54" s="1"/>
  <c r="AP128" i="54"/>
  <c r="AE128" i="54"/>
  <c r="AO127" i="54"/>
  <c r="Y127" i="54"/>
  <c r="Z127" i="54" s="1"/>
  <c r="M127" i="54"/>
  <c r="L127" i="54"/>
  <c r="K127" i="54"/>
  <c r="AO126" i="54"/>
  <c r="Y126" i="54"/>
  <c r="Z126" i="54" s="1"/>
  <c r="AO125" i="54"/>
  <c r="Y125" i="54"/>
  <c r="Z125" i="54" s="1"/>
  <c r="M125" i="54"/>
  <c r="L125" i="54"/>
  <c r="K125" i="54"/>
  <c r="AN124" i="54"/>
  <c r="AN123" i="54" s="1"/>
  <c r="AM124" i="54"/>
  <c r="AM123" i="54" s="1"/>
  <c r="AF124" i="54"/>
  <c r="AF123" i="54" s="1"/>
  <c r="AP123" i="54"/>
  <c r="AE123" i="54"/>
  <c r="AO122" i="54"/>
  <c r="Y122" i="54"/>
  <c r="Z122" i="54" s="1"/>
  <c r="M122" i="54"/>
  <c r="L122" i="54"/>
  <c r="K122" i="54"/>
  <c r="AO121" i="54"/>
  <c r="Y121" i="54"/>
  <c r="Z121" i="54" s="1"/>
  <c r="M121" i="54"/>
  <c r="L121" i="54"/>
  <c r="K121" i="54"/>
  <c r="AO120" i="54"/>
  <c r="Y120" i="54"/>
  <c r="Z120" i="54" s="1"/>
  <c r="M120" i="54"/>
  <c r="L120" i="54"/>
  <c r="K120" i="54"/>
  <c r="AO119" i="54"/>
  <c r="Y119" i="54"/>
  <c r="Z119" i="54" s="1"/>
  <c r="M119" i="54"/>
  <c r="L119" i="54"/>
  <c r="K119" i="54"/>
  <c r="AO118" i="54"/>
  <c r="Y118" i="54"/>
  <c r="Z118" i="54" s="1"/>
  <c r="M118" i="54"/>
  <c r="L118" i="54"/>
  <c r="K118" i="54"/>
  <c r="AO117" i="54"/>
  <c r="Y117" i="54"/>
  <c r="Z117" i="54" s="1"/>
  <c r="M117" i="54"/>
  <c r="L117" i="54"/>
  <c r="K117" i="54"/>
  <c r="AN116" i="54"/>
  <c r="AM116" i="54"/>
  <c r="AF116" i="54"/>
  <c r="AO115" i="54"/>
  <c r="Y115" i="54"/>
  <c r="Z115" i="54" s="1"/>
  <c r="M115" i="54"/>
  <c r="L115" i="54"/>
  <c r="K115" i="54"/>
  <c r="AO114" i="54"/>
  <c r="Y114" i="54"/>
  <c r="Z114" i="54" s="1"/>
  <c r="M114" i="54"/>
  <c r="L114" i="54"/>
  <c r="K114" i="54"/>
  <c r="AO113" i="54"/>
  <c r="Y113" i="54"/>
  <c r="Z113" i="54" s="1"/>
  <c r="M113" i="54"/>
  <c r="L113" i="54"/>
  <c r="K113" i="54"/>
  <c r="AO112" i="54"/>
  <c r="Y112" i="54"/>
  <c r="Z112" i="54" s="1"/>
  <c r="M112" i="54"/>
  <c r="L112" i="54"/>
  <c r="K112" i="54"/>
  <c r="AO111" i="54"/>
  <c r="Y111" i="54"/>
  <c r="Z111" i="54" s="1"/>
  <c r="M111" i="54"/>
  <c r="L111" i="54"/>
  <c r="K111" i="54"/>
  <c r="AN110" i="54"/>
  <c r="AM110" i="54"/>
  <c r="AF110" i="54"/>
  <c r="AO109" i="54"/>
  <c r="Y109" i="54"/>
  <c r="Z109" i="54" s="1"/>
  <c r="M109" i="54"/>
  <c r="L109" i="54"/>
  <c r="K109" i="54"/>
  <c r="AO108" i="54"/>
  <c r="Y108" i="54"/>
  <c r="Z108" i="54" s="1"/>
  <c r="M108" i="54"/>
  <c r="L108" i="54"/>
  <c r="K108" i="54"/>
  <c r="AO107" i="54"/>
  <c r="Y107" i="54"/>
  <c r="Z107" i="54" s="1"/>
  <c r="M107" i="54"/>
  <c r="L107" i="54"/>
  <c r="K107" i="54"/>
  <c r="AO106" i="54"/>
  <c r="Y106" i="54"/>
  <c r="Z106" i="54" s="1"/>
  <c r="M106" i="54"/>
  <c r="L106" i="54"/>
  <c r="K106" i="54"/>
  <c r="AO105" i="54"/>
  <c r="Y105" i="54"/>
  <c r="Z105" i="54" s="1"/>
  <c r="M105" i="54"/>
  <c r="L105" i="54"/>
  <c r="K105" i="54"/>
  <c r="AO104" i="54"/>
  <c r="Y104" i="54"/>
  <c r="Z104" i="54" s="1"/>
  <c r="M104" i="54"/>
  <c r="L104" i="54"/>
  <c r="K104" i="54"/>
  <c r="AO103" i="54"/>
  <c r="Y103" i="54"/>
  <c r="Z103" i="54" s="1"/>
  <c r="M103" i="54"/>
  <c r="L103" i="54"/>
  <c r="K103" i="54"/>
  <c r="AN102" i="54"/>
  <c r="AM102" i="54"/>
  <c r="AF102" i="54"/>
  <c r="AP101" i="54"/>
  <c r="AE101" i="54"/>
  <c r="AO99" i="54"/>
  <c r="Y99" i="54"/>
  <c r="Z99" i="54" s="1"/>
  <c r="M99" i="54"/>
  <c r="L99" i="54"/>
  <c r="K99" i="54"/>
  <c r="AO98" i="54"/>
  <c r="Y98" i="54"/>
  <c r="Z98" i="54" s="1"/>
  <c r="M98" i="54"/>
  <c r="L98" i="54"/>
  <c r="K98" i="54"/>
  <c r="AO97" i="54"/>
  <c r="Y97" i="54"/>
  <c r="Z97" i="54" s="1"/>
  <c r="M97" i="54"/>
  <c r="L97" i="54"/>
  <c r="K97" i="54"/>
  <c r="AO96" i="54"/>
  <c r="Y96" i="54"/>
  <c r="Z96" i="54" s="1"/>
  <c r="M96" i="54"/>
  <c r="L96" i="54"/>
  <c r="K96" i="54"/>
  <c r="AO95" i="54"/>
  <c r="Y95" i="54"/>
  <c r="Z95" i="54" s="1"/>
  <c r="M95" i="54"/>
  <c r="L95" i="54"/>
  <c r="K95" i="54"/>
  <c r="AN94" i="54"/>
  <c r="AN93" i="54" s="1"/>
  <c r="AM94" i="54"/>
  <c r="AM93" i="54" s="1"/>
  <c r="AF94" i="54"/>
  <c r="AF93" i="54" s="1"/>
  <c r="AP93" i="54"/>
  <c r="AE93" i="54"/>
  <c r="AO92" i="54"/>
  <c r="Y92" i="54"/>
  <c r="Z92" i="54" s="1"/>
  <c r="M92" i="54"/>
  <c r="L92" i="54"/>
  <c r="K92" i="54"/>
  <c r="AO91" i="54"/>
  <c r="Y91" i="54"/>
  <c r="Z91" i="54" s="1"/>
  <c r="M91" i="54"/>
  <c r="L91" i="54"/>
  <c r="K91" i="54"/>
  <c r="AO90" i="54"/>
  <c r="Y90" i="54"/>
  <c r="Z90" i="54" s="1"/>
  <c r="L90" i="54"/>
  <c r="K90" i="54"/>
  <c r="AO89" i="54"/>
  <c r="Y89" i="54"/>
  <c r="Z89" i="54" s="1"/>
  <c r="M89" i="54"/>
  <c r="L89" i="54"/>
  <c r="K89" i="54"/>
  <c r="AO88" i="54"/>
  <c r="Y88" i="54"/>
  <c r="Z88" i="54" s="1"/>
  <c r="M88" i="54"/>
  <c r="L88" i="54"/>
  <c r="K88" i="54"/>
  <c r="AO87" i="54"/>
  <c r="Y87" i="54"/>
  <c r="Z87" i="54" s="1"/>
  <c r="M87" i="54"/>
  <c r="L87" i="54"/>
  <c r="K87" i="54"/>
  <c r="AO86" i="54"/>
  <c r="Y86" i="54"/>
  <c r="Z86" i="54" s="1"/>
  <c r="M86" i="54"/>
  <c r="L86" i="54"/>
  <c r="K86" i="54"/>
  <c r="AO85" i="54"/>
  <c r="Y85" i="54"/>
  <c r="Z85" i="54" s="1"/>
  <c r="M85" i="54"/>
  <c r="L85" i="54"/>
  <c r="K85" i="54"/>
  <c r="AO84" i="54"/>
  <c r="Y84" i="54"/>
  <c r="Z84" i="54" s="1"/>
  <c r="L84" i="54"/>
  <c r="K84" i="54"/>
  <c r="AO83" i="54"/>
  <c r="Y83" i="54"/>
  <c r="Z83" i="54" s="1"/>
  <c r="M83" i="54"/>
  <c r="L83" i="54"/>
  <c r="K83" i="54"/>
  <c r="AO82" i="54"/>
  <c r="Y82" i="54"/>
  <c r="Z82" i="54" s="1"/>
  <c r="M82" i="54"/>
  <c r="L82" i="54"/>
  <c r="K82" i="54"/>
  <c r="AN81" i="54"/>
  <c r="AM81" i="54"/>
  <c r="AM80" i="54" s="1"/>
  <c r="AM79" i="54" s="1"/>
  <c r="AF81" i="54"/>
  <c r="AP80" i="54"/>
  <c r="AP79" i="54" s="1"/>
  <c r="AN80" i="54"/>
  <c r="AN79" i="54" s="1"/>
  <c r="AE80" i="54"/>
  <c r="AE79" i="54" s="1"/>
  <c r="AO78" i="54"/>
  <c r="Y78" i="54"/>
  <c r="Z78" i="54" s="1"/>
  <c r="M78" i="54"/>
  <c r="L78" i="54"/>
  <c r="K78" i="54"/>
  <c r="AO77" i="54"/>
  <c r="Y77" i="54"/>
  <c r="Z77" i="54" s="1"/>
  <c r="L77" i="54"/>
  <c r="K77" i="54"/>
  <c r="AO76" i="54"/>
  <c r="Y76" i="54"/>
  <c r="Z76" i="54" s="1"/>
  <c r="M76" i="54"/>
  <c r="L76" i="54"/>
  <c r="K76" i="54"/>
  <c r="AO75" i="54"/>
  <c r="Y75" i="54"/>
  <c r="Z75" i="54" s="1"/>
  <c r="M75" i="54"/>
  <c r="L75" i="54"/>
  <c r="K75" i="54"/>
  <c r="AN74" i="54"/>
  <c r="AN73" i="54" s="1"/>
  <c r="AM74" i="54"/>
  <c r="AM73" i="54" s="1"/>
  <c r="AF74" i="54"/>
  <c r="AF73" i="54" s="1"/>
  <c r="AP73" i="54"/>
  <c r="AE73" i="54"/>
  <c r="AO72" i="54"/>
  <c r="Y72" i="54"/>
  <c r="Z72" i="54" s="1"/>
  <c r="M72" i="54"/>
  <c r="L72" i="54"/>
  <c r="K72" i="54"/>
  <c r="AO71" i="54"/>
  <c r="Y71" i="54"/>
  <c r="Z71" i="54" s="1"/>
  <c r="M71" i="54"/>
  <c r="L71" i="54"/>
  <c r="K71" i="54"/>
  <c r="AO70" i="54"/>
  <c r="Y70" i="54"/>
  <c r="Z70" i="54" s="1"/>
  <c r="M70" i="54"/>
  <c r="L70" i="54"/>
  <c r="K70" i="54"/>
  <c r="AO69" i="54"/>
  <c r="Y69" i="54"/>
  <c r="Z69" i="54" s="1"/>
  <c r="M69" i="54"/>
  <c r="L69" i="54"/>
  <c r="K69" i="54"/>
  <c r="AO68" i="54"/>
  <c r="Y68" i="54"/>
  <c r="Z68" i="54" s="1"/>
  <c r="M68" i="54"/>
  <c r="L68" i="54"/>
  <c r="K68" i="54"/>
  <c r="AO67" i="54"/>
  <c r="Y67" i="54"/>
  <c r="Z67" i="54" s="1"/>
  <c r="M67" i="54"/>
  <c r="L67" i="54"/>
  <c r="K67" i="54"/>
  <c r="AO66" i="54"/>
  <c r="Y66" i="54"/>
  <c r="Z66" i="54" s="1"/>
  <c r="M66" i="54"/>
  <c r="L66" i="54"/>
  <c r="K66" i="54"/>
  <c r="AN65" i="54"/>
  <c r="AN64" i="54" s="1"/>
  <c r="AM65" i="54"/>
  <c r="AM64" i="54" s="1"/>
  <c r="AF65" i="54"/>
  <c r="AP64" i="54"/>
  <c r="AE64" i="54"/>
  <c r="AO62" i="54"/>
  <c r="Y62" i="54"/>
  <c r="Z62" i="54" s="1"/>
  <c r="M62" i="54"/>
  <c r="L62" i="54"/>
  <c r="AO61" i="54"/>
  <c r="Y61" i="54"/>
  <c r="Z61" i="54" s="1"/>
  <c r="M61" i="54"/>
  <c r="L61" i="54"/>
  <c r="AO60" i="54"/>
  <c r="Y60" i="54"/>
  <c r="Z60" i="54" s="1"/>
  <c r="M60" i="54"/>
  <c r="L60" i="54"/>
  <c r="K60" i="54"/>
  <c r="AO59" i="54"/>
  <c r="Y59" i="54"/>
  <c r="Z59" i="54" s="1"/>
  <c r="M59" i="54"/>
  <c r="L59" i="54"/>
  <c r="AO58" i="54"/>
  <c r="Y58" i="54"/>
  <c r="Z58" i="54" s="1"/>
  <c r="M58" i="54"/>
  <c r="L58" i="54"/>
  <c r="K58" i="54"/>
  <c r="AO57" i="54"/>
  <c r="Y57" i="54"/>
  <c r="Z57" i="54" s="1"/>
  <c r="M57" i="54"/>
  <c r="L57" i="54"/>
  <c r="K57" i="54"/>
  <c r="AO56" i="54"/>
  <c r="Y56" i="54"/>
  <c r="Z56" i="54" s="1"/>
  <c r="M56" i="54"/>
  <c r="L56" i="54"/>
  <c r="K56" i="54"/>
  <c r="AN55" i="54"/>
  <c r="AM55" i="54"/>
  <c r="AM54" i="54" s="1"/>
  <c r="AF55" i="54"/>
  <c r="AF54" i="54" s="1"/>
  <c r="AP54" i="54"/>
  <c r="AE54" i="54"/>
  <c r="AO53" i="54"/>
  <c r="Y53" i="54"/>
  <c r="Z53" i="54" s="1"/>
  <c r="M53" i="54"/>
  <c r="L53" i="54"/>
  <c r="K53" i="54"/>
  <c r="AO52" i="54"/>
  <c r="Y52" i="54"/>
  <c r="Z52" i="54" s="1"/>
  <c r="M52" i="54"/>
  <c r="L52" i="54"/>
  <c r="K52" i="54"/>
  <c r="AO51" i="54"/>
  <c r="Y51" i="54"/>
  <c r="Z51" i="54" s="1"/>
  <c r="M51" i="54"/>
  <c r="AO50" i="54"/>
  <c r="Y50" i="54"/>
  <c r="Z50" i="54" s="1"/>
  <c r="M50" i="54"/>
  <c r="L50" i="54"/>
  <c r="K50" i="54"/>
  <c r="AO49" i="54"/>
  <c r="Y49" i="54"/>
  <c r="Z49" i="54" s="1"/>
  <c r="M49" i="54"/>
  <c r="AO48" i="54"/>
  <c r="Y48" i="54"/>
  <c r="Z48" i="54" s="1"/>
  <c r="M48" i="54"/>
  <c r="L48" i="54"/>
  <c r="K48" i="54"/>
  <c r="AN47" i="54"/>
  <c r="AM47" i="54"/>
  <c r="AF47" i="54"/>
  <c r="AO46" i="54"/>
  <c r="Y46" i="54"/>
  <c r="Z46" i="54" s="1"/>
  <c r="M46" i="54"/>
  <c r="L46" i="54"/>
  <c r="K46" i="54"/>
  <c r="AO45" i="54"/>
  <c r="Y45" i="54"/>
  <c r="Z45" i="54" s="1"/>
  <c r="M45" i="54"/>
  <c r="L45" i="54"/>
  <c r="K45" i="54"/>
  <c r="AO44" i="54"/>
  <c r="Y44" i="54"/>
  <c r="Z44" i="54" s="1"/>
  <c r="M44" i="54"/>
  <c r="L44" i="54"/>
  <c r="K44" i="54"/>
  <c r="AO43" i="54"/>
  <c r="Y43" i="54"/>
  <c r="Z43" i="54" s="1"/>
  <c r="M43" i="54"/>
  <c r="L43" i="54"/>
  <c r="K43" i="54"/>
  <c r="AO42" i="54"/>
  <c r="Y42" i="54"/>
  <c r="Z42" i="54" s="1"/>
  <c r="M42" i="54"/>
  <c r="L42" i="54"/>
  <c r="K42" i="54"/>
  <c r="AO41" i="54"/>
  <c r="Y41" i="54"/>
  <c r="Z41" i="54" s="1"/>
  <c r="M41" i="54"/>
  <c r="L41" i="54"/>
  <c r="K41" i="54"/>
  <c r="AO40" i="54"/>
  <c r="Y40" i="54"/>
  <c r="Z40" i="54" s="1"/>
  <c r="AO39" i="54"/>
  <c r="Y39" i="54"/>
  <c r="Z39" i="54" s="1"/>
  <c r="L39" i="54"/>
  <c r="K39" i="54"/>
  <c r="AN38" i="54"/>
  <c r="AM38" i="54"/>
  <c r="AF38" i="54"/>
  <c r="AP37" i="54"/>
  <c r="AE37" i="54"/>
  <c r="AO36" i="54"/>
  <c r="Y36" i="54"/>
  <c r="Z36" i="54" s="1"/>
  <c r="M36" i="54"/>
  <c r="M33" i="54" s="1"/>
  <c r="M32" i="54" s="1"/>
  <c r="L36" i="54"/>
  <c r="K36" i="54"/>
  <c r="AO35" i="54"/>
  <c r="Y35" i="54"/>
  <c r="Z35" i="54" s="1"/>
  <c r="AO34" i="54"/>
  <c r="Y34" i="54"/>
  <c r="Z34" i="54" s="1"/>
  <c r="L34" i="54"/>
  <c r="K34" i="54"/>
  <c r="AN33" i="54"/>
  <c r="AN32" i="54" s="1"/>
  <c r="AM33" i="54"/>
  <c r="AM32" i="54" s="1"/>
  <c r="AF33" i="54"/>
  <c r="AF32" i="54" s="1"/>
  <c r="AP32" i="54"/>
  <c r="AE32" i="54"/>
  <c r="AE24" i="54" s="1"/>
  <c r="AO30" i="54"/>
  <c r="Y30" i="54"/>
  <c r="Z30" i="54" s="1"/>
  <c r="L30" i="54"/>
  <c r="K30" i="54"/>
  <c r="AO29" i="54"/>
  <c r="Z29" i="54"/>
  <c r="M29" i="54"/>
  <c r="L29" i="54"/>
  <c r="K29" i="54"/>
  <c r="AO28" i="54"/>
  <c r="Y28" i="54"/>
  <c r="Z28" i="54" s="1"/>
  <c r="M28" i="54"/>
  <c r="L28" i="54"/>
  <c r="K28" i="54"/>
  <c r="AO27" i="54"/>
  <c r="Y27" i="54"/>
  <c r="Z27" i="54" s="1"/>
  <c r="L27" i="54"/>
  <c r="K27" i="54"/>
  <c r="AO26" i="54"/>
  <c r="Y26" i="54"/>
  <c r="Z26" i="54" s="1"/>
  <c r="L26" i="54"/>
  <c r="K26" i="54"/>
  <c r="AN25" i="54"/>
  <c r="AN24" i="54" s="1"/>
  <c r="AM25" i="54"/>
  <c r="AM24" i="54" s="1"/>
  <c r="AF25" i="54"/>
  <c r="AO23" i="54"/>
  <c r="Y23" i="54"/>
  <c r="Z23" i="54" s="1"/>
  <c r="M23" i="54"/>
  <c r="AO22" i="54"/>
  <c r="AQ22" i="54"/>
  <c r="AR22" i="54" s="1"/>
  <c r="Y22" i="54"/>
  <c r="Z22" i="54" s="1"/>
  <c r="M22" i="54"/>
  <c r="L22" i="54"/>
  <c r="L21" i="54" s="1"/>
  <c r="K22" i="54"/>
  <c r="K21" i="54" s="1"/>
  <c r="AN21" i="54"/>
  <c r="AM21" i="54"/>
  <c r="AF21" i="54"/>
  <c r="AO20" i="54"/>
  <c r="Y20" i="54"/>
  <c r="Z20" i="54" s="1"/>
  <c r="M20" i="54"/>
  <c r="L20" i="54"/>
  <c r="K20" i="54"/>
  <c r="AO19" i="54"/>
  <c r="Y19" i="54"/>
  <c r="Z19" i="54" s="1"/>
  <c r="M19" i="54"/>
  <c r="L19" i="54"/>
  <c r="K19" i="54"/>
  <c r="AO18" i="54"/>
  <c r="Y18" i="54"/>
  <c r="Z18" i="54" s="1"/>
  <c r="M18" i="54"/>
  <c r="L18" i="54"/>
  <c r="K18" i="54"/>
  <c r="AN17" i="54"/>
  <c r="AM17" i="54"/>
  <c r="AF17" i="54"/>
  <c r="AO16" i="54"/>
  <c r="Y16" i="54"/>
  <c r="Z16" i="54" s="1"/>
  <c r="M16" i="54"/>
  <c r="L16" i="54"/>
  <c r="AO15" i="54"/>
  <c r="Y15" i="54"/>
  <c r="Z15" i="54" s="1"/>
  <c r="M15" i="54"/>
  <c r="L15" i="54"/>
  <c r="K15" i="54"/>
  <c r="AO14" i="54"/>
  <c r="Y14" i="54"/>
  <c r="Z14" i="54" s="1"/>
  <c r="M14" i="54"/>
  <c r="L14" i="54"/>
  <c r="K14" i="54"/>
  <c r="AO13" i="54"/>
  <c r="Y13" i="54"/>
  <c r="Z13" i="54" s="1"/>
  <c r="M13" i="54"/>
  <c r="L13" i="54"/>
  <c r="K13" i="54"/>
  <c r="AO12" i="54"/>
  <c r="Y12" i="54"/>
  <c r="Z12" i="54" s="1"/>
  <c r="M12" i="54"/>
  <c r="L12" i="54"/>
  <c r="K12" i="54"/>
  <c r="Y11" i="54"/>
  <c r="Z11" i="54" s="1"/>
  <c r="M11" i="54"/>
  <c r="L11" i="54"/>
  <c r="K11" i="54"/>
  <c r="K10" i="54" s="1"/>
  <c r="AN10" i="54"/>
  <c r="AM10" i="54"/>
  <c r="AF10" i="54"/>
  <c r="AP9" i="54"/>
  <c r="AP8" i="54" s="1"/>
  <c r="AE9" i="54"/>
  <c r="AE8" i="54" s="1"/>
  <c r="B4" i="54"/>
  <c r="A2" i="54"/>
  <c r="AD30" i="54" l="1"/>
  <c r="AD40" i="54"/>
  <c r="AD49" i="54"/>
  <c r="AP100" i="54"/>
  <c r="AD27" i="54"/>
  <c r="AD23" i="54"/>
  <c r="AH23" i="54" s="1"/>
  <c r="AD59" i="54"/>
  <c r="AD61" i="54"/>
  <c r="AH61" i="54" s="1"/>
  <c r="AD14" i="54"/>
  <c r="AD15" i="54"/>
  <c r="AD45" i="54"/>
  <c r="AD56" i="54"/>
  <c r="AD96" i="54"/>
  <c r="AD98" i="54"/>
  <c r="AD120" i="54"/>
  <c r="AD125" i="54"/>
  <c r="AD145" i="54"/>
  <c r="AD28" i="54"/>
  <c r="AD53" i="54"/>
  <c r="AD103" i="54"/>
  <c r="AH103" i="54" s="1"/>
  <c r="AD111" i="54"/>
  <c r="AD117" i="54"/>
  <c r="AH117" i="54" s="1"/>
  <c r="AD149" i="54"/>
  <c r="AD44" i="54"/>
  <c r="AD60" i="54"/>
  <c r="AD68" i="54"/>
  <c r="AH68" i="54" s="1"/>
  <c r="AD72" i="54"/>
  <c r="AD84" i="54"/>
  <c r="AD89" i="54"/>
  <c r="AD113" i="54"/>
  <c r="AD133" i="54"/>
  <c r="AD135" i="54"/>
  <c r="AD144" i="54"/>
  <c r="AD88" i="54"/>
  <c r="AD91" i="54"/>
  <c r="AD119" i="54"/>
  <c r="AD122" i="54"/>
  <c r="AD130" i="54"/>
  <c r="AD132" i="54"/>
  <c r="AD143" i="54"/>
  <c r="AD148" i="54"/>
  <c r="AD95" i="54"/>
  <c r="AD97" i="54"/>
  <c r="AD99" i="54"/>
  <c r="AD109" i="54"/>
  <c r="AD115" i="54"/>
  <c r="AH115" i="54" s="1"/>
  <c r="AD127" i="54"/>
  <c r="AD140" i="54"/>
  <c r="AD147" i="54"/>
  <c r="AD152" i="54"/>
  <c r="AD20" i="54"/>
  <c r="AD46" i="54"/>
  <c r="AD39" i="54"/>
  <c r="AD26" i="54"/>
  <c r="AD48" i="54"/>
  <c r="M21" i="54"/>
  <c r="AD12" i="54"/>
  <c r="AD29" i="54"/>
  <c r="AH29" i="54" s="1"/>
  <c r="AD34" i="54"/>
  <c r="AD51" i="54"/>
  <c r="AD58" i="54"/>
  <c r="AD66" i="54"/>
  <c r="AD78" i="54"/>
  <c r="AD118" i="54"/>
  <c r="AH118" i="54" s="1"/>
  <c r="AD134" i="54"/>
  <c r="AD151" i="54"/>
  <c r="AD16" i="54"/>
  <c r="AD36" i="54"/>
  <c r="AH36" i="54" s="1"/>
  <c r="AD42" i="54"/>
  <c r="AD43" i="54"/>
  <c r="AD57" i="54"/>
  <c r="AD67" i="54"/>
  <c r="AH67" i="54" s="1"/>
  <c r="AD71" i="54"/>
  <c r="AD75" i="54"/>
  <c r="AD77" i="54"/>
  <c r="AD83" i="54"/>
  <c r="AD90" i="54"/>
  <c r="AD92" i="54"/>
  <c r="AD112" i="54"/>
  <c r="AD121" i="54"/>
  <c r="AD126" i="54"/>
  <c r="AD142" i="54"/>
  <c r="AD146" i="54"/>
  <c r="AD19" i="54"/>
  <c r="AH19" i="54" s="1"/>
  <c r="AD52" i="54"/>
  <c r="AD35" i="54"/>
  <c r="AD18" i="54"/>
  <c r="AD41" i="54"/>
  <c r="AD50" i="54"/>
  <c r="AD76" i="54"/>
  <c r="AD86" i="54"/>
  <c r="AH86" i="54" s="1"/>
  <c r="AD107" i="54"/>
  <c r="AH107" i="54" s="1"/>
  <c r="AD114" i="54"/>
  <c r="AD131" i="54"/>
  <c r="AH131" i="54" s="1"/>
  <c r="AD139" i="54"/>
  <c r="AD150" i="54"/>
  <c r="J77" i="51"/>
  <c r="CD77" i="51" s="1"/>
  <c r="AD81" i="54" s="1"/>
  <c r="J98" i="51"/>
  <c r="J97" i="51" s="1"/>
  <c r="Z110" i="54"/>
  <c r="AI14" i="54"/>
  <c r="AG26" i="54"/>
  <c r="AQ26" i="54" s="1"/>
  <c r="AR26" i="54" s="1"/>
  <c r="AJ26" i="54"/>
  <c r="AG34" i="54"/>
  <c r="AQ34" i="54" s="1"/>
  <c r="AR34" i="54" s="1"/>
  <c r="AJ34" i="54"/>
  <c r="AG36" i="54"/>
  <c r="AQ36" i="54" s="1"/>
  <c r="AR36" i="54" s="1"/>
  <c r="AJ36" i="54"/>
  <c r="AG40" i="54"/>
  <c r="AK40" i="54" s="1"/>
  <c r="K34" i="51"/>
  <c r="K33" i="51" s="1"/>
  <c r="K27" i="51" s="1"/>
  <c r="AA34" i="51"/>
  <c r="AA33" i="51" s="1"/>
  <c r="AA27" i="51" s="1"/>
  <c r="BW34" i="51"/>
  <c r="BW33" i="51" s="1"/>
  <c r="BW27" i="51" s="1"/>
  <c r="AG48" i="54"/>
  <c r="AQ48" i="54" s="1"/>
  <c r="AR48" i="54" s="1"/>
  <c r="AG49" i="54"/>
  <c r="AQ49" i="54" s="1"/>
  <c r="AR49" i="54" s="1"/>
  <c r="AG51" i="54"/>
  <c r="AG52" i="54"/>
  <c r="AQ52" i="54" s="1"/>
  <c r="AR52" i="54" s="1"/>
  <c r="AG58" i="54"/>
  <c r="AH58" i="54" s="1"/>
  <c r="CB61" i="51"/>
  <c r="CB60" i="51" s="1"/>
  <c r="CB59" i="51" s="1"/>
  <c r="AI125" i="54"/>
  <c r="AG127" i="54"/>
  <c r="AQ127" i="54" s="1"/>
  <c r="AR127" i="54" s="1"/>
  <c r="BF150" i="51"/>
  <c r="AO24" i="54"/>
  <c r="CE7" i="51"/>
  <c r="AJ14" i="54"/>
  <c r="AJ19" i="54"/>
  <c r="AI24" i="54"/>
  <c r="AJ27" i="54"/>
  <c r="AI34" i="54"/>
  <c r="AG35" i="54"/>
  <c r="AQ35" i="54" s="1"/>
  <c r="AR35" i="54" s="1"/>
  <c r="AJ35" i="54"/>
  <c r="AI36" i="54"/>
  <c r="AG39" i="54"/>
  <c r="AQ39" i="54" s="1"/>
  <c r="AR39" i="54" s="1"/>
  <c r="AJ39" i="54"/>
  <c r="AG44" i="54"/>
  <c r="AH44" i="54" s="1"/>
  <c r="BG34" i="51"/>
  <c r="BG33" i="51" s="1"/>
  <c r="BG27" i="51" s="1"/>
  <c r="BG3" i="51" s="1"/>
  <c r="BG157" i="51" s="1"/>
  <c r="BG158" i="51" s="1"/>
  <c r="AG56" i="54"/>
  <c r="AQ56" i="54" s="1"/>
  <c r="AR56" i="54" s="1"/>
  <c r="AG57" i="54"/>
  <c r="AQ57" i="54" s="1"/>
  <c r="AR57" i="54" s="1"/>
  <c r="CA61" i="51"/>
  <c r="CA60" i="51" s="1"/>
  <c r="CA59" i="51" s="1"/>
  <c r="CC61" i="51"/>
  <c r="CC60" i="51" s="1"/>
  <c r="CC59" i="51" s="1"/>
  <c r="J61" i="51"/>
  <c r="AJ125" i="54"/>
  <c r="AG41" i="54"/>
  <c r="AL41" i="54" s="1"/>
  <c r="BS6" i="51"/>
  <c r="BS5" i="51" s="1"/>
  <c r="BT6" i="51"/>
  <c r="BT5" i="51" s="1"/>
  <c r="BU6" i="51"/>
  <c r="BU5" i="51" s="1"/>
  <c r="AI77" i="54"/>
  <c r="AG76" i="54"/>
  <c r="AJ76" i="54"/>
  <c r="U6" i="51"/>
  <c r="U5" i="51" s="1"/>
  <c r="U4" i="51" s="1"/>
  <c r="T6" i="51"/>
  <c r="T5" i="51" s="1"/>
  <c r="T4" i="51" s="1"/>
  <c r="S6" i="51"/>
  <c r="S5" i="51" s="1"/>
  <c r="S4" i="51" s="1"/>
  <c r="R6" i="51"/>
  <c r="R5" i="51" s="1"/>
  <c r="R4" i="51" s="1"/>
  <c r="AG5" i="51"/>
  <c r="AF5" i="51"/>
  <c r="AF4" i="51" s="1"/>
  <c r="CI10" i="51"/>
  <c r="CI11" i="51"/>
  <c r="CI40" i="51"/>
  <c r="CI53" i="51"/>
  <c r="CI107" i="51"/>
  <c r="CI135" i="51"/>
  <c r="CI139" i="51"/>
  <c r="CI144" i="51"/>
  <c r="CI146" i="51"/>
  <c r="CI8" i="51"/>
  <c r="CI12" i="51"/>
  <c r="CI24" i="51"/>
  <c r="CI30" i="51"/>
  <c r="CI82" i="51"/>
  <c r="CI85" i="51"/>
  <c r="CI86" i="51"/>
  <c r="CI88" i="51"/>
  <c r="CI109" i="51"/>
  <c r="CI122" i="51"/>
  <c r="CI130" i="51"/>
  <c r="CI141" i="51"/>
  <c r="CI23" i="51"/>
  <c r="CI39" i="51"/>
  <c r="CI52" i="51"/>
  <c r="CI55" i="51"/>
  <c r="CI57" i="51"/>
  <c r="CI62" i="51"/>
  <c r="CI71" i="51"/>
  <c r="CI73" i="51"/>
  <c r="CI84" i="51"/>
  <c r="CI87" i="51"/>
  <c r="CI110" i="51"/>
  <c r="CI115" i="51"/>
  <c r="CI118" i="51"/>
  <c r="CI129" i="51"/>
  <c r="CI131" i="51"/>
  <c r="CI145" i="51"/>
  <c r="CI147" i="51"/>
  <c r="N6" i="51"/>
  <c r="CD9" i="51"/>
  <c r="AD13" i="54" s="1"/>
  <c r="AH13" i="54" s="1"/>
  <c r="CI19" i="51"/>
  <c r="CI31" i="51"/>
  <c r="CI56" i="51"/>
  <c r="CI99" i="51"/>
  <c r="CI113" i="51"/>
  <c r="CI114" i="51"/>
  <c r="CI16" i="51"/>
  <c r="CI25" i="51"/>
  <c r="CI26" i="51"/>
  <c r="CI36" i="51"/>
  <c r="CI38" i="51"/>
  <c r="CI44" i="51"/>
  <c r="CI46" i="51"/>
  <c r="CI48" i="51"/>
  <c r="CI67" i="51"/>
  <c r="CI68" i="51"/>
  <c r="CI74" i="51"/>
  <c r="CI103" i="51"/>
  <c r="CI108" i="51"/>
  <c r="CI117" i="51"/>
  <c r="CI136" i="51"/>
  <c r="CI143" i="51"/>
  <c r="CI148" i="51"/>
  <c r="CI35" i="51"/>
  <c r="CI14" i="51"/>
  <c r="CI15" i="51"/>
  <c r="CI22" i="51"/>
  <c r="CI32" i="51"/>
  <c r="CI41" i="51"/>
  <c r="CI42" i="51"/>
  <c r="CI45" i="51"/>
  <c r="CI47" i="51"/>
  <c r="CI49" i="51"/>
  <c r="CI54" i="51"/>
  <c r="CI63" i="51"/>
  <c r="CI64" i="51"/>
  <c r="CI72" i="51"/>
  <c r="CI79" i="51"/>
  <c r="CI80" i="51"/>
  <c r="CI91" i="51"/>
  <c r="CI92" i="51"/>
  <c r="CI93" i="51"/>
  <c r="CI94" i="51"/>
  <c r="CI95" i="51"/>
  <c r="CI105" i="51"/>
  <c r="CI111" i="51"/>
  <c r="CI116" i="51"/>
  <c r="CI121" i="51"/>
  <c r="CI123" i="51"/>
  <c r="CI126" i="51"/>
  <c r="CI127" i="51"/>
  <c r="CI128" i="51"/>
  <c r="CI138" i="51"/>
  <c r="CI140" i="51"/>
  <c r="CI142" i="51"/>
  <c r="AL4" i="51"/>
  <c r="AI19" i="54"/>
  <c r="AL19" i="54" s="1"/>
  <c r="AI39" i="54"/>
  <c r="AD4" i="51"/>
  <c r="AH96" i="51"/>
  <c r="V96" i="51"/>
  <c r="AD96" i="51"/>
  <c r="AB96" i="51"/>
  <c r="AJ96" i="51"/>
  <c r="AR96" i="51"/>
  <c r="Z4" i="51"/>
  <c r="AQ4" i="51"/>
  <c r="AY4" i="51"/>
  <c r="Q96" i="51"/>
  <c r="BB96" i="51"/>
  <c r="AX96" i="51"/>
  <c r="AE96" i="51"/>
  <c r="AM96" i="51"/>
  <c r="BQ96" i="51"/>
  <c r="AN96" i="51"/>
  <c r="BD96" i="51"/>
  <c r="BV96" i="51"/>
  <c r="BT96" i="51"/>
  <c r="AV4" i="51"/>
  <c r="CD83" i="51"/>
  <c r="CG29" i="51"/>
  <c r="AJ33" i="54" s="1"/>
  <c r="M25" i="54"/>
  <c r="M24" i="54" s="1"/>
  <c r="L154" i="54"/>
  <c r="L153" i="54" s="1"/>
  <c r="AN4" i="51"/>
  <c r="CI89" i="51"/>
  <c r="N96" i="51"/>
  <c r="CE120" i="51"/>
  <c r="AR4" i="51"/>
  <c r="BF4" i="51"/>
  <c r="AI27" i="54"/>
  <c r="CI29" i="51"/>
  <c r="Z96" i="51"/>
  <c r="AP96" i="51"/>
  <c r="AI124" i="54"/>
  <c r="AE100" i="54"/>
  <c r="AA4" i="51"/>
  <c r="AZ4" i="51"/>
  <c r="BD4" i="51"/>
  <c r="AG43" i="54"/>
  <c r="AQ43" i="54" s="1"/>
  <c r="AR43" i="54" s="1"/>
  <c r="K94" i="54"/>
  <c r="K93" i="54" s="1"/>
  <c r="AM4" i="51"/>
  <c r="BC4" i="51"/>
  <c r="BW4" i="51"/>
  <c r="O4" i="51"/>
  <c r="W4" i="51"/>
  <c r="AE4" i="51"/>
  <c r="AA96" i="51"/>
  <c r="AQ96" i="51"/>
  <c r="BJ96" i="51"/>
  <c r="CC96" i="51"/>
  <c r="CD104" i="51"/>
  <c r="AG125" i="54"/>
  <c r="AQ125" i="54" s="1"/>
  <c r="AR125" i="54" s="1"/>
  <c r="AI4" i="51"/>
  <c r="M74" i="54"/>
  <c r="M73" i="54" s="1"/>
  <c r="M81" i="54"/>
  <c r="M80" i="54" s="1"/>
  <c r="BV4" i="51"/>
  <c r="CE43" i="51"/>
  <c r="AJ127" i="54"/>
  <c r="CI21" i="51"/>
  <c r="AB8" i="52"/>
  <c r="AA7" i="52"/>
  <c r="AB7" i="52" s="1"/>
  <c r="AX4" i="51"/>
  <c r="BZ4" i="51"/>
  <c r="AP4" i="51"/>
  <c r="AT4" i="51"/>
  <c r="BB4" i="51"/>
  <c r="AH4" i="51"/>
  <c r="CD7" i="51"/>
  <c r="CE21" i="51"/>
  <c r="AG25" i="54" s="1"/>
  <c r="CE41" i="51"/>
  <c r="AG45" i="54" s="1"/>
  <c r="AQ45" i="54" s="1"/>
  <c r="AR45" i="54" s="1"/>
  <c r="CD65" i="51"/>
  <c r="AF96" i="51"/>
  <c r="AV96" i="51"/>
  <c r="CE112" i="51"/>
  <c r="CD151" i="51"/>
  <c r="AN9" i="54"/>
  <c r="AN8" i="54" s="1"/>
  <c r="L116" i="54"/>
  <c r="V4" i="51"/>
  <c r="AG14" i="54"/>
  <c r="AQ14" i="54" s="1"/>
  <c r="AR14" i="54" s="1"/>
  <c r="AH17" i="54"/>
  <c r="AI26" i="54"/>
  <c r="AG27" i="54"/>
  <c r="AQ27" i="54" s="1"/>
  <c r="AR27" i="54" s="1"/>
  <c r="CI50" i="51"/>
  <c r="CE62" i="51"/>
  <c r="AG66" i="54" s="1"/>
  <c r="AQ66" i="54" s="1"/>
  <c r="AR66" i="54" s="1"/>
  <c r="AI94" i="54"/>
  <c r="CF89" i="51"/>
  <c r="Y96" i="51"/>
  <c r="AC96" i="51"/>
  <c r="AG96" i="51"/>
  <c r="AK96" i="51"/>
  <c r="AO96" i="51"/>
  <c r="AS96" i="51"/>
  <c r="AW96" i="51"/>
  <c r="BA96" i="51"/>
  <c r="BE96" i="51"/>
  <c r="BO96" i="51"/>
  <c r="CA96" i="51"/>
  <c r="CD101" i="51"/>
  <c r="CD120" i="51"/>
  <c r="CD119" i="51"/>
  <c r="CI13" i="51"/>
  <c r="BY4" i="51"/>
  <c r="Q4" i="51"/>
  <c r="Y4" i="51"/>
  <c r="AC4" i="51"/>
  <c r="AG4" i="51"/>
  <c r="CI20" i="51"/>
  <c r="AJ28" i="54"/>
  <c r="CE29" i="51"/>
  <c r="AI35" i="54"/>
  <c r="CE38" i="51"/>
  <c r="CE42" i="51"/>
  <c r="AZ96" i="51"/>
  <c r="BN96" i="51"/>
  <c r="BS96" i="51"/>
  <c r="BZ96" i="51"/>
  <c r="M65" i="54"/>
  <c r="M64" i="54" s="1"/>
  <c r="M63" i="54" s="1"/>
  <c r="Z124" i="54"/>
  <c r="L33" i="54"/>
  <c r="L32" i="54" s="1"/>
  <c r="L110" i="54"/>
  <c r="M38" i="54"/>
  <c r="P4" i="51"/>
  <c r="X4" i="51"/>
  <c r="AB4" i="51"/>
  <c r="AO4" i="51"/>
  <c r="AS4" i="51"/>
  <c r="AW4" i="51"/>
  <c r="BA4" i="51"/>
  <c r="BE4" i="51"/>
  <c r="CF29" i="51"/>
  <c r="I34" i="51"/>
  <c r="CI34" i="51" s="1"/>
  <c r="CG62" i="51"/>
  <c r="AJ66" i="54" s="1"/>
  <c r="CD66" i="51"/>
  <c r="CI70" i="51"/>
  <c r="CI69" i="51"/>
  <c r="AG77" i="54"/>
  <c r="AL96" i="51"/>
  <c r="AT96" i="51"/>
  <c r="BP96" i="51"/>
  <c r="AI96" i="51"/>
  <c r="AU96" i="51"/>
  <c r="CD100" i="51"/>
  <c r="AD104" i="54" s="1"/>
  <c r="AI127" i="54"/>
  <c r="CF62" i="51"/>
  <c r="CE89" i="51"/>
  <c r="CD112" i="51"/>
  <c r="R96" i="51"/>
  <c r="CD78" i="51"/>
  <c r="CE81" i="51"/>
  <c r="AG85" i="54" s="1"/>
  <c r="AQ85" i="54" s="1"/>
  <c r="AR85" i="54" s="1"/>
  <c r="CD90" i="51"/>
  <c r="BW96" i="51"/>
  <c r="O96" i="51"/>
  <c r="CD125" i="51"/>
  <c r="CD81" i="51"/>
  <c r="CE83" i="51"/>
  <c r="AG87" i="54" s="1"/>
  <c r="AQ87" i="54" s="1"/>
  <c r="AR87" i="54" s="1"/>
  <c r="CE90" i="51"/>
  <c r="CD102" i="51"/>
  <c r="P96" i="51"/>
  <c r="BR96" i="51"/>
  <c r="CD137" i="51"/>
  <c r="AY96" i="51"/>
  <c r="BC96" i="51"/>
  <c r="AI158" i="54"/>
  <c r="AL158" i="54" s="1"/>
  <c r="AI152" i="54"/>
  <c r="AK152" i="54" s="1"/>
  <c r="AQ148" i="54"/>
  <c r="AR148" i="54" s="1"/>
  <c r="AH148" i="54"/>
  <c r="AI145" i="54"/>
  <c r="AK145" i="54" s="1"/>
  <c r="AI149" i="54"/>
  <c r="AL149" i="54" s="1"/>
  <c r="AI142" i="54"/>
  <c r="AK142" i="54" s="1"/>
  <c r="AI144" i="54"/>
  <c r="AK144" i="54" s="1"/>
  <c r="AI146" i="54"/>
  <c r="AL146" i="54" s="1"/>
  <c r="AI148" i="54"/>
  <c r="AK148" i="54" s="1"/>
  <c r="AI150" i="54"/>
  <c r="AL150" i="54" s="1"/>
  <c r="AJ139" i="54"/>
  <c r="AI139" i="54"/>
  <c r="AG139" i="54"/>
  <c r="CE124" i="51"/>
  <c r="CE125" i="51"/>
  <c r="AI131" i="54"/>
  <c r="AK131" i="54" s="1"/>
  <c r="AJ135" i="54"/>
  <c r="AG132" i="54"/>
  <c r="AH132" i="54" s="1"/>
  <c r="AG134" i="54"/>
  <c r="AQ134" i="54" s="1"/>
  <c r="AR134" i="54" s="1"/>
  <c r="AG136" i="54"/>
  <c r="AK136" i="54" s="1"/>
  <c r="AJ132" i="54"/>
  <c r="AJ134" i="54"/>
  <c r="AJ136" i="54"/>
  <c r="AJ130" i="54"/>
  <c r="AG130" i="54"/>
  <c r="AL130" i="54" s="1"/>
  <c r="CD124" i="51"/>
  <c r="AJ126" i="54"/>
  <c r="AG126" i="54"/>
  <c r="AL126" i="54" s="1"/>
  <c r="BU96" i="51"/>
  <c r="AG122" i="54"/>
  <c r="AQ122" i="54" s="1"/>
  <c r="AR122" i="54" s="1"/>
  <c r="AI120" i="54"/>
  <c r="AK120" i="54" s="1"/>
  <c r="AI122" i="54"/>
  <c r="AJ119" i="54"/>
  <c r="AG119" i="54"/>
  <c r="AK119" i="54" s="1"/>
  <c r="AJ121" i="54"/>
  <c r="AG121" i="54"/>
  <c r="AK121" i="54" s="1"/>
  <c r="CE106" i="51"/>
  <c r="AJ110" i="54"/>
  <c r="J25" i="29" s="1"/>
  <c r="AG113" i="54"/>
  <c r="AQ113" i="54" s="1"/>
  <c r="AR113" i="54" s="1"/>
  <c r="AI112" i="54"/>
  <c r="AJ115" i="54"/>
  <c r="AG112" i="54"/>
  <c r="AQ112" i="54" s="1"/>
  <c r="AR112" i="54" s="1"/>
  <c r="AG114" i="54"/>
  <c r="AQ114" i="54" s="1"/>
  <c r="AR114" i="54" s="1"/>
  <c r="AI113" i="54"/>
  <c r="AI115" i="54"/>
  <c r="AL115" i="54" s="1"/>
  <c r="AJ112" i="54"/>
  <c r="AJ114" i="54"/>
  <c r="AJ111" i="54"/>
  <c r="AI110" i="54"/>
  <c r="AG111" i="54"/>
  <c r="AL111" i="54" s="1"/>
  <c r="AG109" i="54"/>
  <c r="AQ109" i="54" s="1"/>
  <c r="AR109" i="54" s="1"/>
  <c r="AJ107" i="54"/>
  <c r="AJ109" i="54"/>
  <c r="AI107" i="54"/>
  <c r="AL107" i="54" s="1"/>
  <c r="AI103" i="54"/>
  <c r="AL103" i="54" s="1"/>
  <c r="CG89" i="51"/>
  <c r="AJ81" i="54"/>
  <c r="AG90" i="54"/>
  <c r="AQ90" i="54" s="1"/>
  <c r="AR90" i="54" s="1"/>
  <c r="AG92" i="54"/>
  <c r="AQ92" i="54" s="1"/>
  <c r="AR92" i="54" s="1"/>
  <c r="AI83" i="54"/>
  <c r="AJ86" i="54"/>
  <c r="AJ90" i="54"/>
  <c r="AJ92" i="54"/>
  <c r="AG83" i="54"/>
  <c r="AI84" i="54"/>
  <c r="AK84" i="54" s="1"/>
  <c r="AI86" i="54"/>
  <c r="AL86" i="54" s="1"/>
  <c r="AI76" i="54"/>
  <c r="AJ77" i="54"/>
  <c r="AI59" i="54"/>
  <c r="AK59" i="54" s="1"/>
  <c r="AI61" i="54"/>
  <c r="AK61" i="54" s="1"/>
  <c r="AJ61" i="54"/>
  <c r="AI56" i="54"/>
  <c r="AI49" i="54"/>
  <c r="AK49" i="54" s="1"/>
  <c r="AI51" i="54"/>
  <c r="AL51" i="54" s="1"/>
  <c r="AI50" i="54"/>
  <c r="AL50" i="54" s="1"/>
  <c r="AI52" i="54"/>
  <c r="AI47" i="54"/>
  <c r="AI48" i="54"/>
  <c r="AI44" i="54"/>
  <c r="AI43" i="54"/>
  <c r="AJ38" i="54"/>
  <c r="AJ41" i="54"/>
  <c r="BX4" i="51"/>
  <c r="AI25" i="54"/>
  <c r="AI28" i="54"/>
  <c r="AK28" i="54" s="1"/>
  <c r="CE17" i="51"/>
  <c r="AJ21" i="54"/>
  <c r="AJ23" i="54"/>
  <c r="AI18" i="54"/>
  <c r="AL18" i="54" s="1"/>
  <c r="AU4" i="51"/>
  <c r="AI116" i="54"/>
  <c r="AI118" i="54"/>
  <c r="AK118" i="54" s="1"/>
  <c r="CG9" i="51"/>
  <c r="CF9" i="51"/>
  <c r="M4" i="51"/>
  <c r="AI10" i="54"/>
  <c r="AI11" i="54"/>
  <c r="AG12" i="54"/>
  <c r="AQ12" i="54" s="1"/>
  <c r="AR12" i="54" s="1"/>
  <c r="K17" i="54"/>
  <c r="K9" i="54" s="1"/>
  <c r="M17" i="54"/>
  <c r="K47" i="54"/>
  <c r="AM63" i="54"/>
  <c r="K65" i="54"/>
  <c r="K64" i="54" s="1"/>
  <c r="Z94" i="54"/>
  <c r="Z93" i="54" s="1"/>
  <c r="M94" i="54"/>
  <c r="M93" i="54" s="1"/>
  <c r="Z129" i="54"/>
  <c r="Z128" i="54" s="1"/>
  <c r="AH135" i="54"/>
  <c r="AO137" i="54"/>
  <c r="AO138" i="54"/>
  <c r="AO79" i="54"/>
  <c r="AK91" i="54"/>
  <c r="AK135" i="54"/>
  <c r="M47" i="54"/>
  <c r="M37" i="54" s="1"/>
  <c r="AO73" i="54"/>
  <c r="AO74" i="54"/>
  <c r="AO123" i="54"/>
  <c r="AO124" i="54"/>
  <c r="K124" i="54"/>
  <c r="K123" i="54" s="1"/>
  <c r="M124" i="54"/>
  <c r="M123" i="54" s="1"/>
  <c r="L129" i="54"/>
  <c r="L128" i="54" s="1"/>
  <c r="L38" i="54"/>
  <c r="L94" i="54"/>
  <c r="L93" i="54" s="1"/>
  <c r="M138" i="54"/>
  <c r="M137" i="54" s="1"/>
  <c r="AH127" i="54"/>
  <c r="AF9" i="54"/>
  <c r="AK20" i="54"/>
  <c r="AK22" i="54"/>
  <c r="AK68" i="54"/>
  <c r="AK72" i="54"/>
  <c r="AK96" i="54"/>
  <c r="AK98" i="54"/>
  <c r="AH20" i="54"/>
  <c r="AH72" i="54"/>
  <c r="AH88" i="54"/>
  <c r="CG20" i="51"/>
  <c r="CB4" i="51"/>
  <c r="CE11" i="51"/>
  <c r="CI43" i="51"/>
  <c r="CD18" i="51"/>
  <c r="AI38" i="54"/>
  <c r="CI51" i="51"/>
  <c r="AJ60" i="54"/>
  <c r="AJ55" i="54"/>
  <c r="AI81" i="54"/>
  <c r="AI133" i="54"/>
  <c r="AL133" i="54" s="1"/>
  <c r="AI102" i="54"/>
  <c r="AI156" i="54"/>
  <c r="AG156" i="54"/>
  <c r="AJ156" i="54"/>
  <c r="AH50" i="54"/>
  <c r="K25" i="54"/>
  <c r="K8" i="54" s="1"/>
  <c r="K33" i="54"/>
  <c r="K32" i="54" s="1"/>
  <c r="AF37" i="54"/>
  <c r="AF31" i="54" s="1"/>
  <c r="Z47" i="54"/>
  <c r="L47" i="54"/>
  <c r="L65" i="54"/>
  <c r="L64" i="54" s="1"/>
  <c r="Z65" i="54"/>
  <c r="Z64" i="54" s="1"/>
  <c r="AH133" i="54"/>
  <c r="L10" i="54"/>
  <c r="L17" i="54"/>
  <c r="AH34" i="54"/>
  <c r="K38" i="54"/>
  <c r="AM37" i="54"/>
  <c r="AM31" i="54" s="1"/>
  <c r="AH52" i="54"/>
  <c r="AK88" i="54"/>
  <c r="AF80" i="54"/>
  <c r="AF79" i="54" s="1"/>
  <c r="AK97" i="54"/>
  <c r="AK99" i="54"/>
  <c r="K110" i="54"/>
  <c r="M110" i="54"/>
  <c r="K129" i="54"/>
  <c r="K128" i="54" s="1"/>
  <c r="M129" i="54"/>
  <c r="M128" i="54" s="1"/>
  <c r="AK151" i="54"/>
  <c r="Z21" i="54"/>
  <c r="M10" i="54"/>
  <c r="M9" i="54" s="1"/>
  <c r="M8" i="54" s="1"/>
  <c r="AL20" i="54"/>
  <c r="AF24" i="54"/>
  <c r="AL34" i="54"/>
  <c r="AQ51" i="54"/>
  <c r="AR51" i="54" s="1"/>
  <c r="AQ53" i="54"/>
  <c r="AR53" i="54" s="1"/>
  <c r="AL53" i="54"/>
  <c r="AE63" i="54"/>
  <c r="L81" i="54"/>
  <c r="L80" i="54" s="1"/>
  <c r="AL88" i="54"/>
  <c r="AQ89" i="54"/>
  <c r="AR89" i="54" s="1"/>
  <c r="AL89" i="54"/>
  <c r="AO154" i="54"/>
  <c r="AM153" i="54"/>
  <c r="AO153" i="54" s="1"/>
  <c r="K154" i="54"/>
  <c r="K153" i="54" s="1"/>
  <c r="M154" i="54"/>
  <c r="M153" i="54" s="1"/>
  <c r="AO10" i="54"/>
  <c r="Z10" i="54"/>
  <c r="AQ17" i="54"/>
  <c r="AR17" i="54" s="1"/>
  <c r="AK17" i="54"/>
  <c r="AO17" i="54"/>
  <c r="Z17" i="54"/>
  <c r="AM9" i="54"/>
  <c r="AM8" i="54" s="1"/>
  <c r="L25" i="54"/>
  <c r="L24" i="54" s="1"/>
  <c r="AQ30" i="54"/>
  <c r="AR30" i="54" s="1"/>
  <c r="AL30" i="54"/>
  <c r="AP31" i="54"/>
  <c r="AO55" i="54"/>
  <c r="AN54" i="54"/>
  <c r="AO54" i="54" s="1"/>
  <c r="L55" i="54"/>
  <c r="L54" i="54" s="1"/>
  <c r="Z55" i="54"/>
  <c r="Z54" i="54" s="1"/>
  <c r="AQ58" i="54"/>
  <c r="AR58" i="54" s="1"/>
  <c r="AL58" i="54"/>
  <c r="AF64" i="54"/>
  <c r="AF63" i="54" s="1"/>
  <c r="AQ67" i="54"/>
  <c r="AR67" i="54" s="1"/>
  <c r="AL67" i="54"/>
  <c r="AL68" i="54"/>
  <c r="AQ71" i="54"/>
  <c r="AR71" i="54" s="1"/>
  <c r="AL71" i="54"/>
  <c r="AL72" i="54"/>
  <c r="K74" i="54"/>
  <c r="K73" i="54" s="1"/>
  <c r="K63" i="54" s="1"/>
  <c r="AK95" i="54"/>
  <c r="L102" i="54"/>
  <c r="AQ115" i="54"/>
  <c r="AR115" i="54" s="1"/>
  <c r="AK23" i="54"/>
  <c r="AO25" i="54"/>
  <c r="AK29" i="54"/>
  <c r="AH30" i="54"/>
  <c r="AK30" i="54"/>
  <c r="AE31" i="54"/>
  <c r="AO33" i="54"/>
  <c r="Z33" i="54"/>
  <c r="Z32" i="54" s="1"/>
  <c r="AO38" i="54"/>
  <c r="AK41" i="54"/>
  <c r="AH51" i="54"/>
  <c r="AH53" i="54"/>
  <c r="AK53" i="54"/>
  <c r="K55" i="54"/>
  <c r="K54" i="54" s="1"/>
  <c r="AK62" i="54"/>
  <c r="AP63" i="54"/>
  <c r="AP160" i="54" s="1"/>
  <c r="AO65" i="54"/>
  <c r="AK67" i="54"/>
  <c r="AH71" i="54"/>
  <c r="AK71" i="54"/>
  <c r="L74" i="54"/>
  <c r="L73" i="54" s="1"/>
  <c r="AO81" i="54"/>
  <c r="K81" i="54"/>
  <c r="K80" i="54" s="1"/>
  <c r="AH89" i="54"/>
  <c r="AK89" i="54"/>
  <c r="AO93" i="54"/>
  <c r="AO94" i="54"/>
  <c r="K102" i="54"/>
  <c r="M102" i="54"/>
  <c r="AF101" i="54"/>
  <c r="AF100" i="54" s="1"/>
  <c r="AO129" i="54"/>
  <c r="AN128" i="54"/>
  <c r="AO128" i="54" s="1"/>
  <c r="AL135" i="54"/>
  <c r="K138" i="54"/>
  <c r="K137" i="54" s="1"/>
  <c r="AQ144" i="54"/>
  <c r="AR144" i="54" s="1"/>
  <c r="AQ147" i="54"/>
  <c r="AR147" i="54" s="1"/>
  <c r="AL147" i="54"/>
  <c r="AQ149" i="54"/>
  <c r="AR149" i="54" s="1"/>
  <c r="AO116" i="54"/>
  <c r="K116" i="54"/>
  <c r="M116" i="54"/>
  <c r="L124" i="54"/>
  <c r="L123" i="54" s="1"/>
  <c r="AK140" i="54"/>
  <c r="AK143" i="54"/>
  <c r="AH144" i="54"/>
  <c r="AH147" i="54"/>
  <c r="AK147" i="54"/>
  <c r="AH149" i="54"/>
  <c r="AK157" i="54"/>
  <c r="AK159" i="54"/>
  <c r="Z25" i="54"/>
  <c r="Z24" i="54" s="1"/>
  <c r="AK16" i="54"/>
  <c r="AH18" i="54"/>
  <c r="AO21" i="54"/>
  <c r="AO32" i="54"/>
  <c r="AH40" i="54"/>
  <c r="AQ60" i="54"/>
  <c r="AR60" i="54" s="1"/>
  <c r="AH60" i="54"/>
  <c r="AQ62" i="54"/>
  <c r="AR62" i="54" s="1"/>
  <c r="AL62" i="54"/>
  <c r="AH62" i="54"/>
  <c r="AO64" i="54"/>
  <c r="AN63" i="54"/>
  <c r="AQ76" i="54"/>
  <c r="AR76" i="54" s="1"/>
  <c r="AO80" i="54"/>
  <c r="AH84" i="54"/>
  <c r="AQ91" i="54"/>
  <c r="AR91" i="54" s="1"/>
  <c r="AL91" i="54"/>
  <c r="AH91" i="54"/>
  <c r="AQ95" i="54"/>
  <c r="AR95" i="54" s="1"/>
  <c r="AL95" i="54"/>
  <c r="AH95" i="54"/>
  <c r="AQ97" i="54"/>
  <c r="AR97" i="54" s="1"/>
  <c r="AL97" i="54"/>
  <c r="AH97" i="54"/>
  <c r="AQ99" i="54"/>
  <c r="AR99" i="54" s="1"/>
  <c r="AL99" i="54"/>
  <c r="AH99" i="54"/>
  <c r="AO110" i="54"/>
  <c r="AN101" i="54"/>
  <c r="AH16" i="54"/>
  <c r="AL16" i="54"/>
  <c r="AL22" i="54"/>
  <c r="AL23" i="54"/>
  <c r="AH28" i="54"/>
  <c r="AL29" i="54"/>
  <c r="Z38" i="54"/>
  <c r="Z37" i="54" s="1"/>
  <c r="AQ41" i="54"/>
  <c r="AR41" i="54" s="1"/>
  <c r="AO47" i="54"/>
  <c r="AN37" i="54"/>
  <c r="M55" i="54"/>
  <c r="M54" i="54" s="1"/>
  <c r="AQ59" i="54"/>
  <c r="AR59" i="54" s="1"/>
  <c r="AH59" i="54"/>
  <c r="Z74" i="54"/>
  <c r="Z73" i="54" s="1"/>
  <c r="Z63" i="54" s="1"/>
  <c r="Z81" i="54"/>
  <c r="Z80" i="54" s="1"/>
  <c r="AQ96" i="54"/>
  <c r="AR96" i="54" s="1"/>
  <c r="AL96" i="54"/>
  <c r="AH96" i="54"/>
  <c r="AQ98" i="54"/>
  <c r="AR98" i="54" s="1"/>
  <c r="AL98" i="54"/>
  <c r="AH98" i="54"/>
  <c r="AM101" i="54"/>
  <c r="AO102" i="54"/>
  <c r="AK117" i="54"/>
  <c r="AQ118" i="54"/>
  <c r="AR118" i="54" s="1"/>
  <c r="AQ120" i="54"/>
  <c r="AR120" i="54" s="1"/>
  <c r="AH120" i="54"/>
  <c r="AH145" i="54"/>
  <c r="AQ146" i="54"/>
  <c r="AR146" i="54" s="1"/>
  <c r="AH146" i="54"/>
  <c r="Z102" i="54"/>
  <c r="AQ103" i="54"/>
  <c r="AR103" i="54" s="1"/>
  <c r="AQ107" i="54"/>
  <c r="AR107" i="54" s="1"/>
  <c r="Z116" i="54"/>
  <c r="AQ117" i="54"/>
  <c r="AR117" i="54" s="1"/>
  <c r="AL117" i="54"/>
  <c r="AQ140" i="54"/>
  <c r="AR140" i="54" s="1"/>
  <c r="AL140" i="54"/>
  <c r="AH140" i="54"/>
  <c r="AQ142" i="54"/>
  <c r="AR142" i="54" s="1"/>
  <c r="AH142" i="54"/>
  <c r="AQ150" i="54"/>
  <c r="AR150" i="54" s="1"/>
  <c r="AH150" i="54"/>
  <c r="AQ152" i="54"/>
  <c r="AR152" i="54" s="1"/>
  <c r="AH152" i="54"/>
  <c r="AQ158" i="54"/>
  <c r="AR158" i="54" s="1"/>
  <c r="AH158" i="54"/>
  <c r="Z138" i="54"/>
  <c r="Z137" i="54" s="1"/>
  <c r="AQ143" i="54"/>
  <c r="AR143" i="54" s="1"/>
  <c r="AL143" i="54"/>
  <c r="AH143" i="54"/>
  <c r="L138" i="54"/>
  <c r="L137" i="54" s="1"/>
  <c r="AQ151" i="54"/>
  <c r="AR151" i="54" s="1"/>
  <c r="AL151" i="54"/>
  <c r="AH151" i="54"/>
  <c r="Z154" i="54"/>
  <c r="Z153" i="54" s="1"/>
  <c r="AQ157" i="54"/>
  <c r="AR157" i="54" s="1"/>
  <c r="AL157" i="54"/>
  <c r="AH157" i="54"/>
  <c r="AQ159" i="54"/>
  <c r="AR159" i="54" s="1"/>
  <c r="AL159" i="54"/>
  <c r="AH159" i="54"/>
  <c r="AH56" i="54" l="1"/>
  <c r="AH27" i="54"/>
  <c r="AH49" i="54"/>
  <c r="AL52" i="54"/>
  <c r="AL56" i="54"/>
  <c r="AH83" i="54"/>
  <c r="AH41" i="54"/>
  <c r="AH76" i="54"/>
  <c r="AH57" i="54"/>
  <c r="AD129" i="54"/>
  <c r="AD128" i="54"/>
  <c r="J76" i="51"/>
  <c r="J75" i="51" s="1"/>
  <c r="AD141" i="54"/>
  <c r="AD85" i="54"/>
  <c r="AH85" i="54" s="1"/>
  <c r="AD82" i="54"/>
  <c r="AD108" i="54"/>
  <c r="AD123" i="54"/>
  <c r="AD155" i="54"/>
  <c r="AD87" i="54"/>
  <c r="CI7" i="51"/>
  <c r="AD11" i="54"/>
  <c r="AD70" i="54"/>
  <c r="AK58" i="54"/>
  <c r="AD106" i="54"/>
  <c r="AD124" i="54"/>
  <c r="AD116" i="54"/>
  <c r="H26" i="29" s="1"/>
  <c r="AD94" i="54"/>
  <c r="AD69" i="54"/>
  <c r="AD105" i="54"/>
  <c r="AH48" i="54"/>
  <c r="AD22" i="54"/>
  <c r="AH22" i="54" s="1"/>
  <c r="AK48" i="54"/>
  <c r="AH139" i="54"/>
  <c r="AQ40" i="54"/>
  <c r="AR40" i="54" s="1"/>
  <c r="AK19" i="54"/>
  <c r="AL127" i="54"/>
  <c r="AL36" i="54"/>
  <c r="CD98" i="51"/>
  <c r="AQ44" i="54"/>
  <c r="AR44" i="54" s="1"/>
  <c r="AL40" i="54"/>
  <c r="AH39" i="54"/>
  <c r="AH35" i="54"/>
  <c r="AH26" i="54"/>
  <c r="AL26" i="54"/>
  <c r="AL125" i="54"/>
  <c r="L34" i="51"/>
  <c r="L33" i="51" s="1"/>
  <c r="L27" i="51" s="1"/>
  <c r="AK36" i="54"/>
  <c r="AK34" i="54"/>
  <c r="BI34" i="51"/>
  <c r="BI33" i="51" s="1"/>
  <c r="BI27" i="51" s="1"/>
  <c r="BI3" i="51" s="1"/>
  <c r="BI157" i="51" s="1"/>
  <c r="BI158" i="51" s="1"/>
  <c r="BH34" i="51"/>
  <c r="BH33" i="51" s="1"/>
  <c r="BH27" i="51" s="1"/>
  <c r="BH3" i="51" s="1"/>
  <c r="BH157" i="51" s="1"/>
  <c r="BH158" i="51" s="1"/>
  <c r="AH121" i="54"/>
  <c r="AQ83" i="54"/>
  <c r="AR83" i="54" s="1"/>
  <c r="K79" i="54"/>
  <c r="L101" i="54"/>
  <c r="AL57" i="54"/>
  <c r="AK57" i="54"/>
  <c r="AG93" i="54"/>
  <c r="AG21" i="54"/>
  <c r="AK21" i="54" s="1"/>
  <c r="AK44" i="54"/>
  <c r="AL76" i="54"/>
  <c r="AG110" i="54"/>
  <c r="I25" i="29" s="1"/>
  <c r="AG129" i="54"/>
  <c r="AQ129" i="54" s="1"/>
  <c r="AR129" i="54" s="1"/>
  <c r="AG94" i="54"/>
  <c r="AL94" i="54" s="1"/>
  <c r="AL77" i="54"/>
  <c r="I33" i="51"/>
  <c r="I27" i="51" s="1"/>
  <c r="BZ3" i="51"/>
  <c r="BZ157" i="51" s="1"/>
  <c r="BZ158" i="51" s="1"/>
  <c r="AL35" i="54"/>
  <c r="CI151" i="51"/>
  <c r="CE20" i="51"/>
  <c r="CG28" i="51"/>
  <c r="AK39" i="54"/>
  <c r="CI37" i="51"/>
  <c r="J60" i="51"/>
  <c r="CD61" i="51"/>
  <c r="AD65" i="54" s="1"/>
  <c r="BF149" i="51"/>
  <c r="K77" i="51"/>
  <c r="CE77" i="51" s="1"/>
  <c r="AG81" i="54" s="1"/>
  <c r="AK81" i="54" s="1"/>
  <c r="BY34" i="51"/>
  <c r="BY33" i="51" s="1"/>
  <c r="BY27" i="51" s="1"/>
  <c r="BX34" i="51"/>
  <c r="BX33" i="51" s="1"/>
  <c r="BX27" i="51" s="1"/>
  <c r="AJ93" i="54"/>
  <c r="AI33" i="54"/>
  <c r="AB34" i="51"/>
  <c r="AB33" i="51" s="1"/>
  <c r="AB27" i="51" s="1"/>
  <c r="BG150" i="51"/>
  <c r="K61" i="51"/>
  <c r="AG124" i="54"/>
  <c r="AH124" i="54" s="1"/>
  <c r="AJ6" i="51"/>
  <c r="AJ5" i="51" s="1"/>
  <c r="S134" i="51"/>
  <c r="AG47" i="54"/>
  <c r="AQ47" i="54" s="1"/>
  <c r="AR47" i="54" s="1"/>
  <c r="AL39" i="54"/>
  <c r="AH45" i="54"/>
  <c r="N5" i="51"/>
  <c r="CD6" i="51"/>
  <c r="AK125" i="54"/>
  <c r="AH125" i="54"/>
  <c r="AK90" i="54"/>
  <c r="CI18" i="51"/>
  <c r="CI102" i="51"/>
  <c r="CI90" i="51"/>
  <c r="CI112" i="51"/>
  <c r="K98" i="51"/>
  <c r="CI83" i="51"/>
  <c r="CI120" i="51"/>
  <c r="AQ121" i="54"/>
  <c r="AR121" i="54" s="1"/>
  <c r="CI137" i="51"/>
  <c r="CI98" i="51"/>
  <c r="CI66" i="51"/>
  <c r="CI101" i="51"/>
  <c r="CI9" i="51"/>
  <c r="AH113" i="54"/>
  <c r="AK76" i="54"/>
  <c r="CI81" i="51"/>
  <c r="CI78" i="51"/>
  <c r="CI119" i="51"/>
  <c r="CI65" i="51"/>
  <c r="CI104" i="51"/>
  <c r="CI125" i="51"/>
  <c r="CI124" i="51"/>
  <c r="AW3" i="51"/>
  <c r="AW157" i="51" s="1"/>
  <c r="AW158" i="51" s="1"/>
  <c r="AL121" i="54"/>
  <c r="AH90" i="54"/>
  <c r="AL148" i="54"/>
  <c r="AQ111" i="54"/>
  <c r="AR111" i="54" s="1"/>
  <c r="AK111" i="54"/>
  <c r="AK35" i="54"/>
  <c r="AL113" i="54"/>
  <c r="AK103" i="54"/>
  <c r="AN3" i="51"/>
  <c r="AN157" i="51" s="1"/>
  <c r="AN158" i="51" s="1"/>
  <c r="BV3" i="51"/>
  <c r="BV157" i="51" s="1"/>
  <c r="BV158" i="51" s="1"/>
  <c r="AI66" i="54"/>
  <c r="AL66" i="54" s="1"/>
  <c r="CI100" i="51"/>
  <c r="AK27" i="54"/>
  <c r="AL59" i="54"/>
  <c r="AQ132" i="54"/>
  <c r="AR132" i="54" s="1"/>
  <c r="AF8" i="54"/>
  <c r="AF160" i="54" s="1"/>
  <c r="AL27" i="54"/>
  <c r="AL136" i="54"/>
  <c r="AK43" i="54"/>
  <c r="AQ136" i="54"/>
  <c r="AR136" i="54" s="1"/>
  <c r="AH136" i="54"/>
  <c r="AK52" i="54"/>
  <c r="AK146" i="54"/>
  <c r="AJ13" i="54"/>
  <c r="BC3" i="51"/>
  <c r="BC157" i="51" s="1"/>
  <c r="BC158" i="51" s="1"/>
  <c r="AE3" i="51"/>
  <c r="AE157" i="51" s="1"/>
  <c r="AE158" i="51" s="1"/>
  <c r="AH87" i="54"/>
  <c r="AH92" i="54"/>
  <c r="AK14" i="54"/>
  <c r="AK139" i="54"/>
  <c r="AG3" i="51"/>
  <c r="AG157" i="51" s="1"/>
  <c r="AG158" i="51" s="1"/>
  <c r="AD3" i="51"/>
  <c r="AD157" i="51" s="1"/>
  <c r="AD158" i="51" s="1"/>
  <c r="AK150" i="54"/>
  <c r="AK130" i="54"/>
  <c r="AK107" i="54"/>
  <c r="O3" i="51"/>
  <c r="O157" i="51" s="1"/>
  <c r="O158" i="51" s="1"/>
  <c r="AH130" i="54"/>
  <c r="AK149" i="54"/>
  <c r="AH14" i="54"/>
  <c r="AQ139" i="54"/>
  <c r="AR139" i="54" s="1"/>
  <c r="AL14" i="54"/>
  <c r="BJ3" i="51"/>
  <c r="BJ157" i="51" s="1"/>
  <c r="BJ158" i="51" s="1"/>
  <c r="AI3" i="51"/>
  <c r="AI157" i="51" s="1"/>
  <c r="AI158" i="51" s="1"/>
  <c r="CD33" i="51"/>
  <c r="AZ3" i="51"/>
  <c r="AZ157" i="51" s="1"/>
  <c r="AZ158" i="51" s="1"/>
  <c r="AY3" i="51"/>
  <c r="AY157" i="51" s="1"/>
  <c r="AY158" i="51" s="1"/>
  <c r="AL90" i="54"/>
  <c r="AK51" i="54"/>
  <c r="CF28" i="51"/>
  <c r="AL139" i="54"/>
  <c r="AQ130" i="54"/>
  <c r="AR130" i="54" s="1"/>
  <c r="AI13" i="54"/>
  <c r="CE104" i="51"/>
  <c r="AG108" i="54" s="1"/>
  <c r="AL131" i="54"/>
  <c r="AK86" i="54"/>
  <c r="Z3" i="51"/>
  <c r="Z157" i="51" s="1"/>
  <c r="Z158" i="51" s="1"/>
  <c r="AV3" i="51"/>
  <c r="AV157" i="51" s="1"/>
  <c r="AV158" i="51" s="1"/>
  <c r="BF96" i="51"/>
  <c r="BF3" i="51" s="1"/>
  <c r="BF157" i="51" s="1"/>
  <c r="BF158" i="51" s="1"/>
  <c r="AL12" i="54"/>
  <c r="AU3" i="51"/>
  <c r="AU157" i="51" s="1"/>
  <c r="AU158" i="51" s="1"/>
  <c r="AK12" i="54"/>
  <c r="AL144" i="54"/>
  <c r="BP3" i="51"/>
  <c r="BP157" i="51" s="1"/>
  <c r="BP158" i="51" s="1"/>
  <c r="CE6" i="51"/>
  <c r="AL43" i="54"/>
  <c r="AL142" i="54"/>
  <c r="AH12" i="54"/>
  <c r="AK158" i="54"/>
  <c r="AH66" i="54"/>
  <c r="BO3" i="51"/>
  <c r="BO157" i="51" s="1"/>
  <c r="BO158" i="51" s="1"/>
  <c r="AL118" i="54"/>
  <c r="AL44" i="54"/>
  <c r="AL132" i="54"/>
  <c r="BQ3" i="51"/>
  <c r="BQ157" i="51" s="1"/>
  <c r="BQ158" i="51" s="1"/>
  <c r="Y3" i="51"/>
  <c r="Y157" i="51" s="1"/>
  <c r="Y158" i="51" s="1"/>
  <c r="AM3" i="51"/>
  <c r="AM157" i="51" s="1"/>
  <c r="AM158" i="51" s="1"/>
  <c r="AO8" i="54"/>
  <c r="AK133" i="54"/>
  <c r="AK132" i="54"/>
  <c r="AQ77" i="54"/>
  <c r="AR77" i="54" s="1"/>
  <c r="AH112" i="54"/>
  <c r="CE119" i="51"/>
  <c r="AL109" i="54"/>
  <c r="AL92" i="54"/>
  <c r="AK127" i="54"/>
  <c r="K37" i="54"/>
  <c r="K31" i="54" s="1"/>
  <c r="AK122" i="54"/>
  <c r="AK109" i="54"/>
  <c r="AK112" i="54"/>
  <c r="CD150" i="51"/>
  <c r="AD154" i="54" s="1"/>
  <c r="R3" i="51"/>
  <c r="R157" i="51" s="1"/>
  <c r="R158" i="51" s="1"/>
  <c r="AH109" i="54"/>
  <c r="AL122" i="54"/>
  <c r="L63" i="54"/>
  <c r="AL48" i="54"/>
  <c r="AK50" i="54"/>
  <c r="AH43" i="54"/>
  <c r="AQ126" i="54"/>
  <c r="AR126" i="54" s="1"/>
  <c r="AK92" i="54"/>
  <c r="BN3" i="51"/>
  <c r="BN157" i="51" s="1"/>
  <c r="BN158" i="51" s="1"/>
  <c r="AT3" i="51"/>
  <c r="AT157" i="51" s="1"/>
  <c r="AT158" i="51" s="1"/>
  <c r="AH122" i="54"/>
  <c r="AF3" i="51"/>
  <c r="AF157" i="51" s="1"/>
  <c r="AF158" i="51" s="1"/>
  <c r="AH119" i="54"/>
  <c r="AH114" i="54"/>
  <c r="CE34" i="51"/>
  <c r="M79" i="54"/>
  <c r="AR3" i="51"/>
  <c r="AR157" i="51" s="1"/>
  <c r="AR158" i="51" s="1"/>
  <c r="BD3" i="51"/>
  <c r="BD157" i="51" s="1"/>
  <c r="BD158" i="51" s="1"/>
  <c r="CE101" i="51"/>
  <c r="AQ3" i="51"/>
  <c r="AQ157" i="51" s="1"/>
  <c r="AQ158" i="51" s="1"/>
  <c r="AQ119" i="54"/>
  <c r="AR119" i="54" s="1"/>
  <c r="AK77" i="54"/>
  <c r="AL112" i="54"/>
  <c r="AL61" i="54"/>
  <c r="BR4" i="51"/>
  <c r="BR3" i="51" s="1"/>
  <c r="BR157" i="51" s="1"/>
  <c r="BR158" i="51" s="1"/>
  <c r="AK83" i="54"/>
  <c r="CE137" i="51"/>
  <c r="AI46" i="54"/>
  <c r="AG42" i="54"/>
  <c r="V3" i="51"/>
  <c r="V157" i="51" s="1"/>
  <c r="V158" i="51" s="1"/>
  <c r="AP3" i="51"/>
  <c r="AP157" i="51" s="1"/>
  <c r="AP158" i="51" s="1"/>
  <c r="CE66" i="51"/>
  <c r="CF66" i="51" s="1"/>
  <c r="CE28" i="51"/>
  <c r="AG33" i="54"/>
  <c r="AQ33" i="54" s="1"/>
  <c r="AR33" i="54" s="1"/>
  <c r="BA3" i="51"/>
  <c r="BA157" i="51" s="1"/>
  <c r="BA158" i="51" s="1"/>
  <c r="AH111" i="54"/>
  <c r="AH134" i="54"/>
  <c r="AL145" i="54"/>
  <c r="AL134" i="54"/>
  <c r="AL84" i="54"/>
  <c r="AL49" i="54"/>
  <c r="AK26" i="54"/>
  <c r="AK18" i="54"/>
  <c r="CE102" i="51"/>
  <c r="CE100" i="51"/>
  <c r="AG46" i="54"/>
  <c r="AS3" i="51"/>
  <c r="AS157" i="51" s="1"/>
  <c r="AS158" i="51" s="1"/>
  <c r="AA3" i="51"/>
  <c r="AA157" i="51" s="1"/>
  <c r="AA158" i="51" s="1"/>
  <c r="BB3" i="51"/>
  <c r="BB157" i="51" s="1"/>
  <c r="BB158" i="51" s="1"/>
  <c r="AL3" i="51"/>
  <c r="AL157" i="51" s="1"/>
  <c r="AL158" i="51" s="1"/>
  <c r="CE78" i="51"/>
  <c r="AG82" i="54" s="1"/>
  <c r="AI42" i="54"/>
  <c r="AL152" i="54"/>
  <c r="AH77" i="54"/>
  <c r="AE160" i="54"/>
  <c r="L37" i="54"/>
  <c r="L31" i="54" s="1"/>
  <c r="CD149" i="51"/>
  <c r="AD153" i="54" s="1"/>
  <c r="BE3" i="51"/>
  <c r="BE157" i="51" s="1"/>
  <c r="BE158" i="51" s="1"/>
  <c r="AO3" i="51"/>
  <c r="AO157" i="51" s="1"/>
  <c r="AO158" i="51" s="1"/>
  <c r="CE151" i="51"/>
  <c r="CF151" i="51" s="1"/>
  <c r="CE65" i="51"/>
  <c r="CF65" i="51" s="1"/>
  <c r="AH3" i="51"/>
  <c r="AH157" i="51" s="1"/>
  <c r="AH158" i="51" s="1"/>
  <c r="AX3" i="51"/>
  <c r="AX157" i="51" s="1"/>
  <c r="AX158" i="51" s="1"/>
  <c r="AL156" i="54"/>
  <c r="W96" i="51"/>
  <c r="W3" i="51" s="1"/>
  <c r="W157" i="51" s="1"/>
  <c r="W158" i="51" s="1"/>
  <c r="X96" i="51"/>
  <c r="X3" i="51" s="1"/>
  <c r="X157" i="51" s="1"/>
  <c r="X158" i="51" s="1"/>
  <c r="AK156" i="54"/>
  <c r="AH156" i="54"/>
  <c r="AQ156" i="54"/>
  <c r="AR156" i="54" s="1"/>
  <c r="AJ133" i="54"/>
  <c r="AK134" i="54"/>
  <c r="AJ123" i="54"/>
  <c r="AI123" i="54"/>
  <c r="AH126" i="54"/>
  <c r="AK126" i="54"/>
  <c r="AL120" i="54"/>
  <c r="AL119" i="54"/>
  <c r="AJ116" i="54"/>
  <c r="J26" i="29" s="1"/>
  <c r="AG116" i="54"/>
  <c r="I26" i="29" s="1"/>
  <c r="AK110" i="54"/>
  <c r="AQ110" i="54"/>
  <c r="AR110" i="54" s="1"/>
  <c r="AK115" i="54"/>
  <c r="AK113" i="54"/>
  <c r="AL114" i="54"/>
  <c r="AK114" i="54"/>
  <c r="AI93" i="54"/>
  <c r="AL83" i="54"/>
  <c r="AK56" i="54"/>
  <c r="CG33" i="51"/>
  <c r="AJ37" i="54" s="1"/>
  <c r="BS4" i="51"/>
  <c r="BT4" i="51"/>
  <c r="BU4" i="51"/>
  <c r="AL28" i="54"/>
  <c r="AJ24" i="54"/>
  <c r="L4" i="51"/>
  <c r="K4" i="51"/>
  <c r="CG76" i="51"/>
  <c r="CF5" i="51"/>
  <c r="AI9" i="54" s="1"/>
  <c r="J4" i="51"/>
  <c r="AG15" i="54"/>
  <c r="AJ11" i="54"/>
  <c r="AG11" i="54"/>
  <c r="Z79" i="54"/>
  <c r="AO63" i="54"/>
  <c r="M31" i="54"/>
  <c r="L79" i="54"/>
  <c r="L9" i="54"/>
  <c r="L8" i="54" s="1"/>
  <c r="CB96" i="51"/>
  <c r="CD134" i="51"/>
  <c r="CD133" i="51"/>
  <c r="AJ129" i="54"/>
  <c r="CD106" i="51"/>
  <c r="AJ101" i="54"/>
  <c r="CF76" i="51"/>
  <c r="AI80" i="54" s="1"/>
  <c r="CG50" i="51"/>
  <c r="CE51" i="51"/>
  <c r="AJ154" i="54"/>
  <c r="AI154" i="54"/>
  <c r="AI101" i="54"/>
  <c r="AI129" i="54"/>
  <c r="CI77" i="51"/>
  <c r="AI60" i="54"/>
  <c r="Q3" i="51"/>
  <c r="Q157" i="51" s="1"/>
  <c r="Q158" i="51" s="1"/>
  <c r="CF33" i="51"/>
  <c r="CI17" i="51"/>
  <c r="CI28" i="51"/>
  <c r="AJ10" i="54"/>
  <c r="Z9" i="54"/>
  <c r="Z8" i="54" s="1"/>
  <c r="K101" i="54"/>
  <c r="K100" i="54" s="1"/>
  <c r="K160" i="54" s="1"/>
  <c r="Z31" i="54"/>
  <c r="L100" i="54"/>
  <c r="AL25" i="54"/>
  <c r="AL47" i="54"/>
  <c r="AK47" i="54"/>
  <c r="Z101" i="54"/>
  <c r="AM100" i="54"/>
  <c r="AM160" i="54" s="1"/>
  <c r="AH25" i="54"/>
  <c r="Z123" i="54"/>
  <c r="M101" i="54"/>
  <c r="M100" i="54" s="1"/>
  <c r="AK25" i="54"/>
  <c r="AQ25" i="54"/>
  <c r="AO9" i="54"/>
  <c r="AL110" i="54"/>
  <c r="AL17" i="54"/>
  <c r="AL124" i="54"/>
  <c r="AK124" i="54"/>
  <c r="AO37" i="54"/>
  <c r="AN31" i="54"/>
  <c r="AO31" i="54" s="1"/>
  <c r="AN100" i="54"/>
  <c r="AO101" i="54"/>
  <c r="I25" i="21"/>
  <c r="I24" i="21"/>
  <c r="I23" i="21"/>
  <c r="E6" i="20"/>
  <c r="E6" i="18"/>
  <c r="E6" i="9"/>
  <c r="AQ124" i="54" l="1"/>
  <c r="AR124" i="54" s="1"/>
  <c r="AL21" i="54"/>
  <c r="CD76" i="51"/>
  <c r="AD80" i="54" s="1"/>
  <c r="AD102" i="54"/>
  <c r="H24" i="29" s="1"/>
  <c r="AD138" i="54"/>
  <c r="AH21" i="54"/>
  <c r="AH129" i="54"/>
  <c r="AD110" i="54"/>
  <c r="AQ21" i="54"/>
  <c r="AR21" i="54" s="1"/>
  <c r="AD37" i="54"/>
  <c r="AR25" i="54"/>
  <c r="AQ24" i="54"/>
  <c r="AR24" i="54" s="1"/>
  <c r="M160" i="54"/>
  <c r="AD137" i="54"/>
  <c r="CI6" i="51"/>
  <c r="AD10" i="54"/>
  <c r="AL129" i="54"/>
  <c r="AH94" i="54"/>
  <c r="AK94" i="54"/>
  <c r="AQ94" i="54"/>
  <c r="AR94" i="54" s="1"/>
  <c r="AH47" i="54"/>
  <c r="CI61" i="51"/>
  <c r="AG24" i="54"/>
  <c r="AK24" i="54" s="1"/>
  <c r="AJ54" i="54"/>
  <c r="K24" i="22" s="1"/>
  <c r="BH150" i="51"/>
  <c r="K76" i="51"/>
  <c r="AJ32" i="54"/>
  <c r="I3" i="51"/>
  <c r="I157" i="51" s="1"/>
  <c r="CD75" i="51"/>
  <c r="AD79" i="54" s="1"/>
  <c r="L61" i="51"/>
  <c r="CI149" i="51"/>
  <c r="AG32" i="54"/>
  <c r="AQ32" i="54" s="1"/>
  <c r="AR32" i="54" s="1"/>
  <c r="AC34" i="51"/>
  <c r="AC33" i="51" s="1"/>
  <c r="AC27" i="51" s="1"/>
  <c r="CI150" i="51"/>
  <c r="AI32" i="54"/>
  <c r="K97" i="51"/>
  <c r="K60" i="51"/>
  <c r="BG149" i="51"/>
  <c r="CD60" i="51"/>
  <c r="AD64" i="54" s="1"/>
  <c r="J59" i="51"/>
  <c r="L77" i="51"/>
  <c r="AK6" i="51"/>
  <c r="M34" i="51"/>
  <c r="AG38" i="54"/>
  <c r="AL38" i="54" s="1"/>
  <c r="AG10" i="54"/>
  <c r="AQ10" i="54" s="1"/>
  <c r="AR10" i="54" s="1"/>
  <c r="CI33" i="51"/>
  <c r="CI134" i="51"/>
  <c r="CI106" i="51"/>
  <c r="CI133" i="51"/>
  <c r="L98" i="51"/>
  <c r="CD5" i="51"/>
  <c r="AD9" i="54" s="1"/>
  <c r="N4" i="51"/>
  <c r="N3" i="51" s="1"/>
  <c r="AK66" i="54"/>
  <c r="AG123" i="54"/>
  <c r="AH123" i="54" s="1"/>
  <c r="AH81" i="54"/>
  <c r="AH108" i="54"/>
  <c r="AQ108" i="54"/>
  <c r="AR108" i="54" s="1"/>
  <c r="AK33" i="54"/>
  <c r="CE5" i="51"/>
  <c r="CE4" i="51" s="1"/>
  <c r="CE76" i="51"/>
  <c r="AK13" i="54"/>
  <c r="AL13" i="54"/>
  <c r="AH33" i="54"/>
  <c r="CE33" i="51"/>
  <c r="AL33" i="54"/>
  <c r="AG55" i="54"/>
  <c r="CE50" i="51"/>
  <c r="CE61" i="51"/>
  <c r="AG65" i="54" s="1"/>
  <c r="S133" i="51"/>
  <c r="CE134" i="51"/>
  <c r="AG155" i="54"/>
  <c r="AH82" i="54"/>
  <c r="AQ82" i="54"/>
  <c r="AR82" i="54" s="1"/>
  <c r="AG104" i="54"/>
  <c r="AG106" i="54"/>
  <c r="AG141" i="54"/>
  <c r="CI27" i="51"/>
  <c r="AK129" i="54"/>
  <c r="AG69" i="54"/>
  <c r="AK42" i="54"/>
  <c r="AI15" i="54"/>
  <c r="AL15" i="54" s="1"/>
  <c r="AJ15" i="54"/>
  <c r="CE98" i="51"/>
  <c r="AI45" i="54"/>
  <c r="AG70" i="54"/>
  <c r="T133" i="51"/>
  <c r="T96" i="51" s="1"/>
  <c r="AG105" i="54"/>
  <c r="AI108" i="54"/>
  <c r="AH42" i="54"/>
  <c r="AL42" i="54"/>
  <c r="AQ42" i="54"/>
  <c r="AR42" i="54" s="1"/>
  <c r="AL60" i="54"/>
  <c r="AK60" i="54"/>
  <c r="AI69" i="54"/>
  <c r="CE150" i="51"/>
  <c r="AG154" i="54" s="1"/>
  <c r="AK154" i="54" s="1"/>
  <c r="AQ46" i="54"/>
  <c r="AR46" i="54" s="1"/>
  <c r="AH46" i="54"/>
  <c r="AL46" i="54"/>
  <c r="AI85" i="54"/>
  <c r="AI70" i="54"/>
  <c r="AK46" i="54"/>
  <c r="AI87" i="54"/>
  <c r="AG128" i="54"/>
  <c r="AL116" i="54"/>
  <c r="AQ116" i="54"/>
  <c r="AR116" i="54" s="1"/>
  <c r="AH116" i="54"/>
  <c r="AK116" i="54"/>
  <c r="AL81" i="54"/>
  <c r="AQ81" i="54"/>
  <c r="AR81" i="54" s="1"/>
  <c r="CG75" i="51"/>
  <c r="AI37" i="54"/>
  <c r="AJ80" i="54"/>
  <c r="CF4" i="51"/>
  <c r="AQ15" i="54"/>
  <c r="AR15" i="54" s="1"/>
  <c r="AH15" i="54"/>
  <c r="AQ11" i="54"/>
  <c r="AR11" i="54" s="1"/>
  <c r="AK11" i="54"/>
  <c r="AL11" i="54"/>
  <c r="AH11" i="54"/>
  <c r="L160" i="54"/>
  <c r="CG5" i="51"/>
  <c r="AJ9" i="54" s="1"/>
  <c r="CA4" i="51"/>
  <c r="CC4" i="51"/>
  <c r="CF60" i="51"/>
  <c r="AI64" i="54" s="1"/>
  <c r="CI76" i="51"/>
  <c r="BY133" i="51"/>
  <c r="AJ138" i="54"/>
  <c r="CB3" i="51"/>
  <c r="CB157" i="51" s="1"/>
  <c r="CB158" i="51" s="1"/>
  <c r="CG27" i="51"/>
  <c r="AJ31" i="54" s="1"/>
  <c r="CG60" i="51"/>
  <c r="AJ64" i="54" s="1"/>
  <c r="P3" i="51"/>
  <c r="P157" i="51" s="1"/>
  <c r="P158" i="51" s="1"/>
  <c r="AI55" i="54"/>
  <c r="CE60" i="51"/>
  <c r="AG64" i="54" s="1"/>
  <c r="AH64" i="54" s="1"/>
  <c r="CI60" i="51"/>
  <c r="CF75" i="51"/>
  <c r="CD97" i="51"/>
  <c r="J96" i="51"/>
  <c r="Z100" i="54"/>
  <c r="Z160" i="54" s="1"/>
  <c r="AL24" i="54"/>
  <c r="AH24" i="54"/>
  <c r="AN160" i="54"/>
  <c r="AO160" i="54" s="1"/>
  <c r="AO100" i="54"/>
  <c r="AL93" i="54"/>
  <c r="AH93" i="54"/>
  <c r="AQ93" i="54"/>
  <c r="AR93" i="54" s="1"/>
  <c r="AK93" i="54"/>
  <c r="F29" i="9"/>
  <c r="AQ38" i="54" l="1"/>
  <c r="AR38" i="54" s="1"/>
  <c r="AK32" i="54"/>
  <c r="AD101" i="54"/>
  <c r="AQ123" i="54"/>
  <c r="AR123" i="54" s="1"/>
  <c r="H25" i="29"/>
  <c r="AH110" i="54"/>
  <c r="AL123" i="54"/>
  <c r="AL32" i="54"/>
  <c r="AH32" i="54"/>
  <c r="BI150" i="51"/>
  <c r="CD59" i="51"/>
  <c r="AD63" i="54" s="1"/>
  <c r="L60" i="51"/>
  <c r="I158" i="51"/>
  <c r="K75" i="51"/>
  <c r="M77" i="51"/>
  <c r="L76" i="51"/>
  <c r="K59" i="51"/>
  <c r="BH149" i="51"/>
  <c r="AK5" i="51"/>
  <c r="AG138" i="54"/>
  <c r="AQ138" i="54" s="1"/>
  <c r="AR138" i="54" s="1"/>
  <c r="AG54" i="54"/>
  <c r="U134" i="51"/>
  <c r="L97" i="51"/>
  <c r="M33" i="51"/>
  <c r="M27" i="51" s="1"/>
  <c r="AG37" i="54"/>
  <c r="AH37" i="54" s="1"/>
  <c r="AH38" i="54"/>
  <c r="AK38" i="54"/>
  <c r="AL10" i="54"/>
  <c r="AH10" i="54"/>
  <c r="AG9" i="54"/>
  <c r="AL9" i="54" s="1"/>
  <c r="AK10" i="54"/>
  <c r="N157" i="51"/>
  <c r="N158" i="51" s="1"/>
  <c r="AK123" i="54"/>
  <c r="CI97" i="51"/>
  <c r="M98" i="51"/>
  <c r="M61" i="51"/>
  <c r="CD4" i="51"/>
  <c r="CD96" i="51"/>
  <c r="AQ54" i="54"/>
  <c r="AR54" i="54" s="1"/>
  <c r="AK15" i="54"/>
  <c r="CE27" i="51"/>
  <c r="AG80" i="54"/>
  <c r="CE75" i="51"/>
  <c r="AL154" i="54"/>
  <c r="AH154" i="54"/>
  <c r="AK69" i="54"/>
  <c r="AK70" i="54"/>
  <c r="AG8" i="54"/>
  <c r="AQ8" i="54" s="1"/>
  <c r="AR8" i="54" s="1"/>
  <c r="CI5" i="51"/>
  <c r="AJ108" i="54"/>
  <c r="AI105" i="54"/>
  <c r="AL105" i="54" s="1"/>
  <c r="AJ45" i="54"/>
  <c r="AJ4" i="51"/>
  <c r="AI65" i="54"/>
  <c r="AK65" i="54" s="1"/>
  <c r="AI106" i="54"/>
  <c r="AK106" i="54" s="1"/>
  <c r="AQ105" i="54"/>
  <c r="AR105" i="54" s="1"/>
  <c r="AH105" i="54"/>
  <c r="AI141" i="54"/>
  <c r="AQ70" i="54"/>
  <c r="AR70" i="54" s="1"/>
  <c r="AH70" i="54"/>
  <c r="AL70" i="54"/>
  <c r="AJ46" i="54"/>
  <c r="S96" i="51"/>
  <c r="CE133" i="51"/>
  <c r="AH55" i="54"/>
  <c r="AQ55" i="54"/>
  <c r="AR55" i="54" s="1"/>
  <c r="CI75" i="51"/>
  <c r="AQ154" i="54"/>
  <c r="AR154" i="54" s="1"/>
  <c r="AQ106" i="54"/>
  <c r="AR106" i="54" s="1"/>
  <c r="AH106" i="54"/>
  <c r="AJ87" i="54"/>
  <c r="AI8" i="54"/>
  <c r="AL87" i="54"/>
  <c r="AK87" i="54"/>
  <c r="AJ70" i="54"/>
  <c r="AL85" i="54"/>
  <c r="AK85" i="54"/>
  <c r="CE149" i="51"/>
  <c r="AG153" i="54" s="1"/>
  <c r="CE97" i="51"/>
  <c r="AG102" i="54"/>
  <c r="AI82" i="54"/>
  <c r="AJ85" i="54"/>
  <c r="AJ42" i="54"/>
  <c r="AQ65" i="54"/>
  <c r="AR65" i="54" s="1"/>
  <c r="AH65" i="54"/>
  <c r="AL108" i="54"/>
  <c r="AK108" i="54"/>
  <c r="AB3" i="51"/>
  <c r="AB157" i="51" s="1"/>
  <c r="AB158" i="51" s="1"/>
  <c r="AK45" i="54"/>
  <c r="AL45" i="54"/>
  <c r="K96" i="51"/>
  <c r="AI155" i="54"/>
  <c r="AK155" i="54" s="1"/>
  <c r="AQ69" i="54"/>
  <c r="AR69" i="54" s="1"/>
  <c r="AL69" i="54"/>
  <c r="AH69" i="54"/>
  <c r="AQ141" i="54"/>
  <c r="AR141" i="54" s="1"/>
  <c r="AH141" i="54"/>
  <c r="AQ104" i="54"/>
  <c r="AR104" i="54" s="1"/>
  <c r="AH104" i="54"/>
  <c r="AQ155" i="54"/>
  <c r="AR155" i="54" s="1"/>
  <c r="AH155" i="54"/>
  <c r="AH138" i="54"/>
  <c r="AI104" i="54"/>
  <c r="AJ153" i="54"/>
  <c r="AI153" i="54"/>
  <c r="AJ128" i="54"/>
  <c r="AI128" i="54"/>
  <c r="AK128" i="54" s="1"/>
  <c r="AQ128" i="54"/>
  <c r="AR128" i="54" s="1"/>
  <c r="AH128" i="54"/>
  <c r="AJ79" i="54"/>
  <c r="AI79" i="54"/>
  <c r="AL64" i="54"/>
  <c r="AQ64" i="54"/>
  <c r="AR64" i="54" s="1"/>
  <c r="AK64" i="54"/>
  <c r="AK55" i="54"/>
  <c r="AL55" i="54"/>
  <c r="J3" i="51"/>
  <c r="J157" i="51" s="1"/>
  <c r="CF50" i="51"/>
  <c r="BY96" i="51"/>
  <c r="CG4" i="51"/>
  <c r="AJ8" i="54" s="1"/>
  <c r="BX133" i="51"/>
  <c r="AI138" i="54"/>
  <c r="CC3" i="51"/>
  <c r="CC157" i="51" s="1"/>
  <c r="CC158" i="51" s="1"/>
  <c r="CA3" i="51"/>
  <c r="F18" i="16"/>
  <c r="CI96" i="51" l="1"/>
  <c r="AD100" i="54"/>
  <c r="AH54" i="54"/>
  <c r="J24" i="22"/>
  <c r="M76" i="51"/>
  <c r="M75" i="51" s="1"/>
  <c r="AD8" i="54"/>
  <c r="AH8" i="54" s="1"/>
  <c r="AK37" i="54"/>
  <c r="AI54" i="54"/>
  <c r="AQ37" i="54"/>
  <c r="AR37" i="54" s="1"/>
  <c r="L75" i="51"/>
  <c r="L59" i="51"/>
  <c r="BI149" i="51"/>
  <c r="M97" i="51"/>
  <c r="M60" i="51"/>
  <c r="AL37" i="54"/>
  <c r="AG31" i="54"/>
  <c r="AH31" i="54" s="1"/>
  <c r="CI4" i="51"/>
  <c r="AQ9" i="54"/>
  <c r="AR9" i="54" s="1"/>
  <c r="AK9" i="54"/>
  <c r="J158" i="51"/>
  <c r="AH9" i="54"/>
  <c r="CA157" i="51"/>
  <c r="CA158" i="51" s="1"/>
  <c r="AL65" i="54"/>
  <c r="CD3" i="51"/>
  <c r="AL106" i="54"/>
  <c r="AK8" i="54"/>
  <c r="AG79" i="54"/>
  <c r="AL79" i="54" s="1"/>
  <c r="CE96" i="51"/>
  <c r="AG100" i="54" s="1"/>
  <c r="AK80" i="54"/>
  <c r="AL80" i="54"/>
  <c r="AQ80" i="54"/>
  <c r="AR80" i="54" s="1"/>
  <c r="AH80" i="54"/>
  <c r="AL8" i="54"/>
  <c r="AJ65" i="54"/>
  <c r="AJ141" i="54"/>
  <c r="AJ105" i="54"/>
  <c r="AG137" i="54"/>
  <c r="CI59" i="51"/>
  <c r="L96" i="51"/>
  <c r="AJ155" i="54"/>
  <c r="AJ82" i="54"/>
  <c r="AL141" i="54"/>
  <c r="AK141" i="54"/>
  <c r="AJ3" i="51"/>
  <c r="AJ157" i="51" s="1"/>
  <c r="AJ158" i="51" s="1"/>
  <c r="AL104" i="54"/>
  <c r="AK104" i="54"/>
  <c r="AK102" i="54"/>
  <c r="AL102" i="54"/>
  <c r="AH102" i="54"/>
  <c r="AQ102" i="54"/>
  <c r="AR102" i="54" s="1"/>
  <c r="AJ69" i="54"/>
  <c r="AJ106" i="54"/>
  <c r="AJ104" i="54"/>
  <c r="AK105" i="54"/>
  <c r="AL155" i="54"/>
  <c r="AC3" i="51"/>
  <c r="AC157" i="51" s="1"/>
  <c r="AC158" i="51" s="1"/>
  <c r="AK82" i="54"/>
  <c r="AL82" i="54"/>
  <c r="AG101" i="54"/>
  <c r="K3" i="51"/>
  <c r="U133" i="51"/>
  <c r="AK4" i="51"/>
  <c r="AK153" i="54"/>
  <c r="AQ153" i="54"/>
  <c r="AR153" i="54" s="1"/>
  <c r="AH153" i="54"/>
  <c r="AL153" i="54"/>
  <c r="AK138" i="54"/>
  <c r="AL138" i="54"/>
  <c r="AJ137" i="54"/>
  <c r="AL128" i="54"/>
  <c r="AK54" i="54"/>
  <c r="AL54" i="54"/>
  <c r="AI137" i="54"/>
  <c r="BS3" i="51"/>
  <c r="BS157" i="51" s="1"/>
  <c r="BS158" i="51" s="1"/>
  <c r="CG96" i="51"/>
  <c r="BX96" i="51"/>
  <c r="CF27" i="51"/>
  <c r="AD160" i="54" l="1"/>
  <c r="M59" i="51"/>
  <c r="AQ31" i="54"/>
  <c r="AR31" i="54" s="1"/>
  <c r="K157" i="51"/>
  <c r="K158" i="51" s="1"/>
  <c r="CD157" i="51"/>
  <c r="CI3" i="51"/>
  <c r="AK79" i="54"/>
  <c r="AH79" i="54"/>
  <c r="AQ79" i="54"/>
  <c r="AR79" i="54" s="1"/>
  <c r="L3" i="51"/>
  <c r="M96" i="51"/>
  <c r="U96" i="51"/>
  <c r="AH137" i="54"/>
  <c r="AQ137" i="54"/>
  <c r="AR137" i="54" s="1"/>
  <c r="AI31" i="54"/>
  <c r="AK31" i="54" s="1"/>
  <c r="AK3" i="51"/>
  <c r="AK157" i="51" s="1"/>
  <c r="AK158" i="51" s="1"/>
  <c r="AK101" i="54"/>
  <c r="AL101" i="54"/>
  <c r="AQ101" i="54"/>
  <c r="AR101" i="54" s="1"/>
  <c r="AH101" i="54"/>
  <c r="AK137" i="54"/>
  <c r="AL137" i="54"/>
  <c r="AJ100" i="54"/>
  <c r="AH100" i="54"/>
  <c r="AQ100" i="54"/>
  <c r="AR100" i="54" s="1"/>
  <c r="BU3" i="51"/>
  <c r="BU157" i="51" s="1"/>
  <c r="BU158" i="51" s="1"/>
  <c r="L157" i="51" l="1"/>
  <c r="L158" i="51" s="1"/>
  <c r="CD158" i="51"/>
  <c r="AL31" i="54"/>
  <c r="M3" i="51"/>
  <c r="AI100" i="54"/>
  <c r="BT3" i="51"/>
  <c r="BT157" i="51" s="1"/>
  <c r="BT158" i="51" s="1"/>
  <c r="M157" i="51" l="1"/>
  <c r="M158" i="51" s="1"/>
  <c r="AK100" i="54"/>
  <c r="AL100" i="54"/>
  <c r="L308" i="49" l="1"/>
  <c r="R308" i="49"/>
  <c r="Q308" i="49"/>
  <c r="P308" i="49"/>
  <c r="L502" i="49"/>
  <c r="Z524" i="49" l="1"/>
  <c r="Z523" i="49"/>
  <c r="Z522" i="49"/>
  <c r="Z521" i="49"/>
  <c r="Z520" i="49"/>
  <c r="Z517" i="49"/>
  <c r="AA517" i="49" s="1"/>
  <c r="Z516" i="49"/>
  <c r="Z515" i="49"/>
  <c r="Z514" i="49"/>
  <c r="Z513" i="49"/>
  <c r="Z510" i="49"/>
  <c r="Z509" i="49"/>
  <c r="AA509" i="49" s="1"/>
  <c r="Z508" i="49"/>
  <c r="Z507" i="49"/>
  <c r="AA507" i="49" s="1"/>
  <c r="Z504" i="49"/>
  <c r="AA504" i="49" s="1"/>
  <c r="Z503" i="49"/>
  <c r="Z501" i="49"/>
  <c r="Z500" i="49"/>
  <c r="Z499" i="49"/>
  <c r="Z498" i="49"/>
  <c r="Z497" i="49"/>
  <c r="Z496" i="49"/>
  <c r="Z495" i="49"/>
  <c r="Z494" i="49"/>
  <c r="Z493" i="49"/>
  <c r="Z492" i="49"/>
  <c r="Z491" i="49"/>
  <c r="Z490" i="49"/>
  <c r="Z489" i="49"/>
  <c r="Z488" i="49"/>
  <c r="Z487" i="49"/>
  <c r="Z486" i="49"/>
  <c r="Z485" i="49"/>
  <c r="Z484" i="49"/>
  <c r="Z483" i="49"/>
  <c r="Z482" i="49"/>
  <c r="Z481" i="49"/>
  <c r="Z480" i="49"/>
  <c r="Z479" i="49"/>
  <c r="Z478" i="49"/>
  <c r="Z477" i="49"/>
  <c r="Z476" i="49"/>
  <c r="Z475" i="49"/>
  <c r="Z474" i="49"/>
  <c r="Z473" i="49"/>
  <c r="Z472" i="49"/>
  <c r="Z471" i="49"/>
  <c r="Z469" i="49"/>
  <c r="Z468" i="49"/>
  <c r="Z467" i="49"/>
  <c r="Z466" i="49"/>
  <c r="Z465" i="49"/>
  <c r="Z464" i="49"/>
  <c r="Z463" i="49"/>
  <c r="Z462" i="49"/>
  <c r="Z461" i="49"/>
  <c r="Z460" i="49"/>
  <c r="Z459" i="49"/>
  <c r="Z458" i="49"/>
  <c r="Z457" i="49"/>
  <c r="Z456" i="49"/>
  <c r="Z455" i="49"/>
  <c r="Z454" i="49"/>
  <c r="Z453" i="49"/>
  <c r="Z452" i="49"/>
  <c r="Z451" i="49"/>
  <c r="Z450" i="49"/>
  <c r="Z449" i="49"/>
  <c r="Z448" i="49"/>
  <c r="Z447" i="49"/>
  <c r="Z446" i="49"/>
  <c r="Z445" i="49"/>
  <c r="Z444" i="49"/>
  <c r="Z443" i="49"/>
  <c r="Z442" i="49"/>
  <c r="Z441" i="49"/>
  <c r="Z440" i="49"/>
  <c r="Z439" i="49"/>
  <c r="Z437" i="49"/>
  <c r="Z436" i="49"/>
  <c r="Z435" i="49"/>
  <c r="Z434" i="49"/>
  <c r="Z433" i="49"/>
  <c r="Z432" i="49"/>
  <c r="Z431" i="49"/>
  <c r="Z430" i="49"/>
  <c r="Z429" i="49"/>
  <c r="Z428" i="49"/>
  <c r="Z427" i="49"/>
  <c r="Z426" i="49"/>
  <c r="Z425" i="49"/>
  <c r="Z424" i="49"/>
  <c r="Z423" i="49"/>
  <c r="Z422" i="49"/>
  <c r="Z421" i="49"/>
  <c r="Z420" i="49"/>
  <c r="Z419" i="49"/>
  <c r="Z418" i="49"/>
  <c r="Z417" i="49"/>
  <c r="Z416" i="49"/>
  <c r="Z415" i="49"/>
  <c r="Z414" i="49"/>
  <c r="Z413" i="49"/>
  <c r="Z412" i="49"/>
  <c r="Z411" i="49"/>
  <c r="Z410" i="49"/>
  <c r="Z409" i="49"/>
  <c r="Z408" i="49"/>
  <c r="Z407" i="49"/>
  <c r="Z406" i="49"/>
  <c r="Z403" i="49"/>
  <c r="Z401" i="49"/>
  <c r="Z400" i="49"/>
  <c r="Z399" i="49"/>
  <c r="Z398" i="49"/>
  <c r="Z397" i="49"/>
  <c r="Z395" i="49"/>
  <c r="Z394" i="49"/>
  <c r="Z392" i="49"/>
  <c r="Z391" i="49"/>
  <c r="Z389" i="49"/>
  <c r="Z388" i="49"/>
  <c r="Z387" i="49"/>
  <c r="Z385" i="49"/>
  <c r="Z384" i="49"/>
  <c r="Z382" i="49"/>
  <c r="Z381" i="49"/>
  <c r="Z377" i="49"/>
  <c r="Z376" i="49"/>
  <c r="Z375" i="49"/>
  <c r="Z374" i="49"/>
  <c r="Z373" i="49"/>
  <c r="Z372" i="49"/>
  <c r="Z369" i="49"/>
  <c r="Z368" i="49"/>
  <c r="Z367" i="49"/>
  <c r="Z366" i="49"/>
  <c r="Z365" i="49"/>
  <c r="Z362" i="49"/>
  <c r="Z361" i="49"/>
  <c r="Z359" i="49"/>
  <c r="Z358" i="49"/>
  <c r="Z357" i="49"/>
  <c r="Z355" i="49"/>
  <c r="Z354" i="49"/>
  <c r="Z353" i="49"/>
  <c r="Z351" i="49"/>
  <c r="Z350" i="49"/>
  <c r="Z348" i="49"/>
  <c r="Z347" i="49"/>
  <c r="Z344" i="49"/>
  <c r="Z343" i="49"/>
  <c r="Z342" i="49"/>
  <c r="Z341" i="49"/>
  <c r="Z340" i="49"/>
  <c r="Z339" i="49"/>
  <c r="Z338" i="49"/>
  <c r="Z337" i="49"/>
  <c r="Z336" i="49"/>
  <c r="Z335" i="49"/>
  <c r="Z334" i="49"/>
  <c r="Z333" i="49"/>
  <c r="Z332" i="49"/>
  <c r="Z331" i="49"/>
  <c r="Z330" i="49"/>
  <c r="Z329" i="49"/>
  <c r="Z328" i="49"/>
  <c r="Z327" i="49"/>
  <c r="Z326" i="49"/>
  <c r="Z325" i="49"/>
  <c r="Z324" i="49"/>
  <c r="Z323" i="49"/>
  <c r="Z322" i="49"/>
  <c r="Z321" i="49"/>
  <c r="Z320" i="49"/>
  <c r="Z319" i="49"/>
  <c r="Z318" i="49"/>
  <c r="Z317" i="49"/>
  <c r="Z316" i="49"/>
  <c r="Z315" i="49"/>
  <c r="Z314" i="49"/>
  <c r="Z313" i="49"/>
  <c r="Z312" i="49"/>
  <c r="Z311" i="49"/>
  <c r="Z309" i="49"/>
  <c r="Z307" i="49"/>
  <c r="Z306" i="49"/>
  <c r="Z305" i="49"/>
  <c r="Z303" i="49"/>
  <c r="Z302" i="49"/>
  <c r="Z301" i="49"/>
  <c r="Z299" i="49"/>
  <c r="Z298" i="49"/>
  <c r="Z297" i="49"/>
  <c r="Z295" i="49"/>
  <c r="Z294" i="49"/>
  <c r="Z293" i="49"/>
  <c r="Z291" i="49"/>
  <c r="Z290" i="49"/>
  <c r="Z289" i="49"/>
  <c r="Z286" i="49"/>
  <c r="Z285" i="49"/>
  <c r="Z284" i="49"/>
  <c r="Z282" i="49"/>
  <c r="Z281" i="49"/>
  <c r="Z280" i="49"/>
  <c r="Z277" i="49"/>
  <c r="Z276" i="49"/>
  <c r="Z275" i="49"/>
  <c r="Z273" i="49"/>
  <c r="Z272" i="49"/>
  <c r="Z271" i="49"/>
  <c r="Z269" i="49"/>
  <c r="Z268" i="49"/>
  <c r="Z267" i="49"/>
  <c r="Z264" i="49"/>
  <c r="Z263" i="49"/>
  <c r="Z262" i="49"/>
  <c r="Z260" i="49"/>
  <c r="Z259" i="49"/>
  <c r="Z258" i="49"/>
  <c r="Z255" i="49"/>
  <c r="Z254" i="49"/>
  <c r="Z253" i="49"/>
  <c r="Z251" i="49"/>
  <c r="Z250" i="49"/>
  <c r="Z249" i="49"/>
  <c r="Z245" i="49"/>
  <c r="Z244" i="49"/>
  <c r="Z243" i="49"/>
  <c r="Z241" i="49"/>
  <c r="Z240" i="49"/>
  <c r="Z239" i="49"/>
  <c r="Z237" i="49"/>
  <c r="Z236" i="49"/>
  <c r="Z235" i="49"/>
  <c r="Z233" i="49"/>
  <c r="Z232" i="49"/>
  <c r="Z231" i="49"/>
  <c r="Z226" i="49"/>
  <c r="Z225" i="49"/>
  <c r="Z224" i="49"/>
  <c r="Z222" i="49"/>
  <c r="Z221" i="49"/>
  <c r="Z220" i="49"/>
  <c r="Z218" i="49"/>
  <c r="Z217" i="49"/>
  <c r="Z216" i="49"/>
  <c r="Z214" i="49"/>
  <c r="Z213" i="49"/>
  <c r="Z212" i="49"/>
  <c r="Z210" i="49"/>
  <c r="Z209" i="49"/>
  <c r="Z208" i="49"/>
  <c r="Z204" i="49"/>
  <c r="Z203" i="49"/>
  <c r="Z202" i="49"/>
  <c r="Z198" i="49"/>
  <c r="Z197" i="49"/>
  <c r="Z196" i="49"/>
  <c r="Z193" i="49"/>
  <c r="Z192" i="49"/>
  <c r="Z191" i="49"/>
  <c r="Z186" i="49"/>
  <c r="Z185" i="49"/>
  <c r="Z184" i="49"/>
  <c r="Z182" i="49"/>
  <c r="Z181" i="49"/>
  <c r="Z180" i="49"/>
  <c r="Z178" i="49"/>
  <c r="Z177" i="49"/>
  <c r="Z176" i="49"/>
  <c r="Z174" i="49"/>
  <c r="Z173" i="49"/>
  <c r="Z172" i="49"/>
  <c r="Z170" i="49"/>
  <c r="Z169" i="49"/>
  <c r="Z168" i="49"/>
  <c r="Z166" i="49"/>
  <c r="Z165" i="49"/>
  <c r="Z164" i="49"/>
  <c r="Z162" i="49"/>
  <c r="Z161" i="49"/>
  <c r="Z160" i="49"/>
  <c r="Z158" i="49"/>
  <c r="Z157" i="49"/>
  <c r="Z156" i="49"/>
  <c r="Z154" i="49"/>
  <c r="Z153" i="49"/>
  <c r="Z152" i="49"/>
  <c r="Z150" i="49"/>
  <c r="Z149" i="49"/>
  <c r="Z146" i="49"/>
  <c r="Z145" i="49"/>
  <c r="Z144" i="49"/>
  <c r="Z142" i="49"/>
  <c r="Z141" i="49"/>
  <c r="Z140" i="49"/>
  <c r="Z138" i="49"/>
  <c r="Z137" i="49"/>
  <c r="Z134" i="49"/>
  <c r="Z133" i="49"/>
  <c r="Z132" i="49"/>
  <c r="Z130" i="49"/>
  <c r="Z129" i="49"/>
  <c r="Z128" i="49"/>
  <c r="Z126" i="49"/>
  <c r="Z125" i="49"/>
  <c r="Z124" i="49"/>
  <c r="Z122" i="49"/>
  <c r="Z121" i="49"/>
  <c r="Z120" i="49"/>
  <c r="Z118" i="49"/>
  <c r="Z117" i="49"/>
  <c r="Z116" i="49"/>
  <c r="Z114" i="49"/>
  <c r="Z113" i="49"/>
  <c r="Z112" i="49"/>
  <c r="Z110" i="49"/>
  <c r="Z109" i="49"/>
  <c r="Z108" i="49"/>
  <c r="Z106" i="49"/>
  <c r="Z105" i="49"/>
  <c r="Z104" i="49"/>
  <c r="Z100" i="49"/>
  <c r="Z99" i="49"/>
  <c r="Z98" i="49"/>
  <c r="Z95" i="49"/>
  <c r="Z94" i="49"/>
  <c r="Z93" i="49"/>
  <c r="Z91" i="49"/>
  <c r="Z90" i="49"/>
  <c r="Z89" i="49"/>
  <c r="Z87" i="49"/>
  <c r="Z86" i="49"/>
  <c r="Z85" i="49"/>
  <c r="Z83" i="49"/>
  <c r="Z82" i="49"/>
  <c r="Z81" i="49"/>
  <c r="Z77" i="49"/>
  <c r="Z76" i="49"/>
  <c r="Z73" i="49"/>
  <c r="Z72" i="49"/>
  <c r="Z71" i="49"/>
  <c r="Z69" i="49"/>
  <c r="Z68" i="49"/>
  <c r="Z65" i="49"/>
  <c r="Z64" i="49"/>
  <c r="Z61" i="49"/>
  <c r="Z60" i="49"/>
  <c r="Z57" i="49"/>
  <c r="Z56" i="49"/>
  <c r="Z53" i="49"/>
  <c r="Z52" i="49"/>
  <c r="Z49" i="49"/>
  <c r="Z48" i="49"/>
  <c r="Z47" i="49"/>
  <c r="Z45" i="49"/>
  <c r="Z44" i="49"/>
  <c r="Z41" i="49"/>
  <c r="Z40" i="49"/>
  <c r="Z36" i="49"/>
  <c r="Z35" i="49"/>
  <c r="Z34" i="49"/>
  <c r="Z32" i="49"/>
  <c r="Z31" i="49"/>
  <c r="Z30" i="49"/>
  <c r="Z24" i="49"/>
  <c r="Z23" i="49"/>
  <c r="Z22" i="49"/>
  <c r="Z20" i="49"/>
  <c r="Z19" i="49"/>
  <c r="Z16" i="49"/>
  <c r="Z15" i="49"/>
  <c r="V509" i="49"/>
  <c r="V507" i="49"/>
  <c r="V51" i="49"/>
  <c r="U506" i="49"/>
  <c r="U505" i="49" s="1"/>
  <c r="O404" i="49"/>
  <c r="V404" i="49" s="1"/>
  <c r="R51" i="49"/>
  <c r="P51" i="49"/>
  <c r="R404" i="49" l="1"/>
  <c r="Q404" i="49"/>
  <c r="Q51" i="49"/>
  <c r="Z51" i="49" s="1"/>
  <c r="AA51" i="49" s="1"/>
  <c r="Q402" i="49" l="1"/>
  <c r="Z404" i="49"/>
  <c r="AA404" i="49" s="1"/>
  <c r="I12" i="37" l="1"/>
  <c r="AB96" i="37" l="1"/>
  <c r="AA96" i="37"/>
  <c r="Z96" i="37"/>
  <c r="I96" i="37"/>
  <c r="I95" i="37" s="1"/>
  <c r="X95" i="37"/>
  <c r="X94" i="37" s="1"/>
  <c r="X93" i="37" s="1"/>
  <c r="W95" i="37"/>
  <c r="W94" i="37" s="1"/>
  <c r="W93" i="37" s="1"/>
  <c r="V95" i="37"/>
  <c r="V94" i="37" s="1"/>
  <c r="V93" i="37" s="1"/>
  <c r="U95" i="37"/>
  <c r="U94" i="37" s="1"/>
  <c r="U93" i="37" s="1"/>
  <c r="T95" i="37"/>
  <c r="S95" i="37"/>
  <c r="S94" i="37" s="1"/>
  <c r="S93" i="37" s="1"/>
  <c r="R95" i="37"/>
  <c r="R94" i="37" s="1"/>
  <c r="R93" i="37" s="1"/>
  <c r="Q95" i="37"/>
  <c r="Q94" i="37" s="1"/>
  <c r="Q93" i="37" s="1"/>
  <c r="P95" i="37"/>
  <c r="P94" i="37" s="1"/>
  <c r="P93" i="37" s="1"/>
  <c r="O95" i="37"/>
  <c r="O94" i="37" s="1"/>
  <c r="O93" i="37" s="1"/>
  <c r="N95" i="37"/>
  <c r="N94" i="37" s="1"/>
  <c r="N93" i="37" s="1"/>
  <c r="M95" i="37"/>
  <c r="M94" i="37" s="1"/>
  <c r="M93" i="37" s="1"/>
  <c r="L95" i="37"/>
  <c r="K95" i="37"/>
  <c r="J95" i="37"/>
  <c r="T94" i="37"/>
  <c r="T93" i="37" s="1"/>
  <c r="L94" i="37"/>
  <c r="L93" i="37" s="1"/>
  <c r="K94" i="37"/>
  <c r="K93" i="37" s="1"/>
  <c r="J94" i="37"/>
  <c r="I94" i="37"/>
  <c r="I93" i="37" s="1"/>
  <c r="L92" i="37"/>
  <c r="L91" i="37" s="1"/>
  <c r="K92" i="37"/>
  <c r="K91" i="37" s="1"/>
  <c r="J92" i="37"/>
  <c r="J91" i="37" s="1"/>
  <c r="I92" i="37"/>
  <c r="I91" i="37" s="1"/>
  <c r="L90" i="37"/>
  <c r="L89" i="37" s="1"/>
  <c r="K90" i="37"/>
  <c r="K89" i="37" s="1"/>
  <c r="J90" i="37"/>
  <c r="J89" i="37" s="1"/>
  <c r="I90" i="37"/>
  <c r="I89" i="37" s="1"/>
  <c r="L87" i="37"/>
  <c r="L86" i="37" s="1"/>
  <c r="K87" i="37"/>
  <c r="K86" i="37" s="1"/>
  <c r="J87" i="37"/>
  <c r="J86" i="37" s="1"/>
  <c r="I87" i="37"/>
  <c r="I86" i="37" s="1"/>
  <c r="X86" i="37"/>
  <c r="W86" i="37"/>
  <c r="V86" i="37"/>
  <c r="U86" i="37"/>
  <c r="T86" i="37"/>
  <c r="R86" i="37"/>
  <c r="P86" i="37"/>
  <c r="O86" i="37"/>
  <c r="N86" i="37"/>
  <c r="M86" i="37"/>
  <c r="L85" i="37"/>
  <c r="L84" i="37" s="1"/>
  <c r="K85" i="37"/>
  <c r="K84" i="37" s="1"/>
  <c r="J85" i="37"/>
  <c r="J84" i="37" s="1"/>
  <c r="I85" i="37"/>
  <c r="I84" i="37" s="1"/>
  <c r="L83" i="37"/>
  <c r="L82" i="37" s="1"/>
  <c r="K83" i="37"/>
  <c r="K82" i="37" s="1"/>
  <c r="J83" i="37"/>
  <c r="J82" i="37" s="1"/>
  <c r="I83" i="37"/>
  <c r="I82" i="37" s="1"/>
  <c r="AB79" i="37"/>
  <c r="AA79" i="37"/>
  <c r="Z79" i="37"/>
  <c r="Y79" i="37"/>
  <c r="AB78" i="37"/>
  <c r="AA78" i="37"/>
  <c r="Z78" i="37"/>
  <c r="I78" i="37"/>
  <c r="Y78" i="37" s="1"/>
  <c r="X77" i="37"/>
  <c r="W77" i="37"/>
  <c r="V77" i="37"/>
  <c r="U77" i="37"/>
  <c r="T77" i="37"/>
  <c r="S77" i="37"/>
  <c r="R77" i="37"/>
  <c r="Q77" i="37"/>
  <c r="P77" i="37"/>
  <c r="O77" i="37"/>
  <c r="N77" i="37"/>
  <c r="M77" i="37"/>
  <c r="L77" i="37"/>
  <c r="K77" i="37"/>
  <c r="AA77" i="37" s="1"/>
  <c r="J77" i="37"/>
  <c r="Z77" i="37" s="1"/>
  <c r="I77" i="37"/>
  <c r="Y77" i="37" s="1"/>
  <c r="X76" i="37"/>
  <c r="W76" i="37"/>
  <c r="V76" i="37"/>
  <c r="U76" i="37"/>
  <c r="T76" i="37"/>
  <c r="S76" i="37"/>
  <c r="R76" i="37"/>
  <c r="Q76" i="37"/>
  <c r="P76" i="37"/>
  <c r="O76" i="37"/>
  <c r="N76" i="37"/>
  <c r="M76" i="37"/>
  <c r="L76" i="37"/>
  <c r="K76" i="37"/>
  <c r="AA76" i="37" s="1"/>
  <c r="J76" i="37"/>
  <c r="Z76" i="37" s="1"/>
  <c r="I76" i="37"/>
  <c r="Y76" i="37" s="1"/>
  <c r="X75" i="37"/>
  <c r="W75" i="37"/>
  <c r="V75" i="37"/>
  <c r="U75" i="37"/>
  <c r="T75" i="37"/>
  <c r="S75" i="37"/>
  <c r="R75" i="37"/>
  <c r="Q75" i="37"/>
  <c r="P75" i="37"/>
  <c r="O75" i="37"/>
  <c r="N75" i="37"/>
  <c r="M75" i="37"/>
  <c r="L75" i="37"/>
  <c r="L74" i="37" s="1"/>
  <c r="AB74" i="37" s="1"/>
  <c r="K75" i="37"/>
  <c r="AA75" i="37" s="1"/>
  <c r="J75" i="37"/>
  <c r="Z75" i="37" s="1"/>
  <c r="I75" i="37"/>
  <c r="Y75" i="37" s="1"/>
  <c r="X73" i="37"/>
  <c r="X72" i="37" s="1"/>
  <c r="X71" i="37" s="1"/>
  <c r="W73" i="37"/>
  <c r="W72" i="37" s="1"/>
  <c r="W71" i="37" s="1"/>
  <c r="W69" i="37" s="1"/>
  <c r="V73" i="37"/>
  <c r="V72" i="37" s="1"/>
  <c r="V71" i="37" s="1"/>
  <c r="V69" i="37" s="1"/>
  <c r="U73" i="37"/>
  <c r="U72" i="37" s="1"/>
  <c r="U71" i="37" s="1"/>
  <c r="U69" i="37" s="1"/>
  <c r="T73" i="37"/>
  <c r="T72" i="37" s="1"/>
  <c r="T71" i="37" s="1"/>
  <c r="S73" i="37"/>
  <c r="S72" i="37" s="1"/>
  <c r="S71" i="37" s="1"/>
  <c r="R73" i="37"/>
  <c r="R72" i="37" s="1"/>
  <c r="R71" i="37" s="1"/>
  <c r="Q73" i="37"/>
  <c r="Q72" i="37" s="1"/>
  <c r="Q71" i="37" s="1"/>
  <c r="P73" i="37"/>
  <c r="O73" i="37"/>
  <c r="N73" i="37"/>
  <c r="M73" i="37"/>
  <c r="M72" i="37" s="1"/>
  <c r="M71" i="37" s="1"/>
  <c r="M69" i="37" s="1"/>
  <c r="I73" i="37"/>
  <c r="I72" i="37" s="1"/>
  <c r="L72" i="37"/>
  <c r="L71" i="37" s="1"/>
  <c r="K72" i="37"/>
  <c r="K71" i="37" s="1"/>
  <c r="J72" i="37"/>
  <c r="J70" i="37"/>
  <c r="J69" i="37" s="1"/>
  <c r="J68" i="37" s="1"/>
  <c r="Z68" i="37" s="1"/>
  <c r="I70" i="37"/>
  <c r="I69" i="37" s="1"/>
  <c r="I68" i="37" s="1"/>
  <c r="Y68" i="37" s="1"/>
  <c r="L69" i="37"/>
  <c r="K69" i="37"/>
  <c r="K68" i="37" s="1"/>
  <c r="AA68" i="37" s="1"/>
  <c r="X67" i="37"/>
  <c r="X66" i="37" s="1"/>
  <c r="X65" i="37" s="1"/>
  <c r="W67" i="37"/>
  <c r="W66" i="37" s="1"/>
  <c r="W65" i="37" s="1"/>
  <c r="V67" i="37"/>
  <c r="V66" i="37" s="1"/>
  <c r="V65" i="37" s="1"/>
  <c r="U67" i="37"/>
  <c r="U66" i="37" s="1"/>
  <c r="U65" i="37" s="1"/>
  <c r="T67" i="37"/>
  <c r="T66" i="37" s="1"/>
  <c r="T65" i="37" s="1"/>
  <c r="S67" i="37"/>
  <c r="S66" i="37" s="1"/>
  <c r="S65" i="37" s="1"/>
  <c r="R67" i="37"/>
  <c r="Q67" i="37"/>
  <c r="Q66" i="37" s="1"/>
  <c r="Q65" i="37" s="1"/>
  <c r="P67" i="37"/>
  <c r="P66" i="37" s="1"/>
  <c r="P65" i="37" s="1"/>
  <c r="O67" i="37"/>
  <c r="O66" i="37" s="1"/>
  <c r="O65" i="37" s="1"/>
  <c r="N67" i="37"/>
  <c r="M67" i="37"/>
  <c r="M66" i="37" s="1"/>
  <c r="M65" i="37" s="1"/>
  <c r="R66" i="37"/>
  <c r="R65" i="37" s="1"/>
  <c r="N66" i="37"/>
  <c r="N65" i="37" s="1"/>
  <c r="L66" i="37"/>
  <c r="K66" i="37"/>
  <c r="K65" i="37" s="1"/>
  <c r="J66" i="37"/>
  <c r="J65" i="37" s="1"/>
  <c r="I66" i="37"/>
  <c r="I65" i="37"/>
  <c r="I64" i="37" s="1"/>
  <c r="Y64" i="37" s="1"/>
  <c r="X63" i="37"/>
  <c r="W63" i="37"/>
  <c r="V63" i="37"/>
  <c r="U63" i="37"/>
  <c r="T63" i="37"/>
  <c r="S63" i="37"/>
  <c r="R63" i="37"/>
  <c r="Q63" i="37"/>
  <c r="P63" i="37"/>
  <c r="O63" i="37"/>
  <c r="N63" i="37"/>
  <c r="M63" i="37"/>
  <c r="L63" i="37"/>
  <c r="L61" i="37" s="1"/>
  <c r="K63" i="37"/>
  <c r="J63" i="37"/>
  <c r="I63" i="37"/>
  <c r="X62" i="37"/>
  <c r="X61" i="37" s="1"/>
  <c r="W62" i="37"/>
  <c r="W61" i="37" s="1"/>
  <c r="V62" i="37"/>
  <c r="V61" i="37" s="1"/>
  <c r="U62" i="37"/>
  <c r="U61" i="37" s="1"/>
  <c r="T62" i="37"/>
  <c r="T61" i="37" s="1"/>
  <c r="S62" i="37"/>
  <c r="S61" i="37" s="1"/>
  <c r="R62" i="37"/>
  <c r="R61" i="37" s="1"/>
  <c r="Q62" i="37"/>
  <c r="Q61" i="37" s="1"/>
  <c r="P62" i="37"/>
  <c r="O62" i="37"/>
  <c r="N62" i="37"/>
  <c r="N61" i="37" s="1"/>
  <c r="M62" i="37"/>
  <c r="M61" i="37" s="1"/>
  <c r="J62" i="37"/>
  <c r="I62" i="37"/>
  <c r="Y59" i="37"/>
  <c r="L59" i="37"/>
  <c r="L58" i="37" s="1"/>
  <c r="K59" i="37"/>
  <c r="J59" i="37"/>
  <c r="J58" i="37" s="1"/>
  <c r="X58" i="37"/>
  <c r="X57" i="37" s="1"/>
  <c r="X56" i="37" s="1"/>
  <c r="W58" i="37"/>
  <c r="W57" i="37" s="1"/>
  <c r="W56" i="37" s="1"/>
  <c r="V58" i="37"/>
  <c r="V57" i="37" s="1"/>
  <c r="V56" i="37" s="1"/>
  <c r="U58" i="37"/>
  <c r="U57" i="37" s="1"/>
  <c r="U56" i="37" s="1"/>
  <c r="T58" i="37"/>
  <c r="T57" i="37" s="1"/>
  <c r="T56" i="37" s="1"/>
  <c r="S58" i="37"/>
  <c r="S57" i="37" s="1"/>
  <c r="S56" i="37" s="1"/>
  <c r="R58" i="37"/>
  <c r="R57" i="37" s="1"/>
  <c r="Q58" i="37"/>
  <c r="Q57" i="37" s="1"/>
  <c r="Q56" i="37" s="1"/>
  <c r="P58" i="37"/>
  <c r="P57" i="37" s="1"/>
  <c r="P56" i="37" s="1"/>
  <c r="O58" i="37"/>
  <c r="O57" i="37" s="1"/>
  <c r="O56" i="37" s="1"/>
  <c r="N58" i="37"/>
  <c r="N57" i="37" s="1"/>
  <c r="N56" i="37" s="1"/>
  <c r="M58" i="37"/>
  <c r="M57" i="37" s="1"/>
  <c r="M56" i="37" s="1"/>
  <c r="I58" i="37"/>
  <c r="I57" i="37" s="1"/>
  <c r="R56" i="37"/>
  <c r="I55" i="37"/>
  <c r="I54" i="37"/>
  <c r="AB53" i="37"/>
  <c r="AA53" i="37"/>
  <c r="J53" i="37"/>
  <c r="Z53" i="37" s="1"/>
  <c r="I53" i="37"/>
  <c r="Y53" i="37" s="1"/>
  <c r="X52" i="37"/>
  <c r="X51" i="37" s="1"/>
  <c r="X50" i="37" s="1"/>
  <c r="W52" i="37"/>
  <c r="V52" i="37"/>
  <c r="U52" i="37"/>
  <c r="T52" i="37"/>
  <c r="S52" i="37"/>
  <c r="R52" i="37"/>
  <c r="Q52" i="37"/>
  <c r="P52" i="37"/>
  <c r="P51" i="37" s="1"/>
  <c r="P50" i="37" s="1"/>
  <c r="O52" i="37"/>
  <c r="N52" i="37"/>
  <c r="M52" i="37"/>
  <c r="L52" i="37"/>
  <c r="K52" i="37"/>
  <c r="J52" i="37"/>
  <c r="I52" i="37"/>
  <c r="W51" i="37"/>
  <c r="W50" i="37" s="1"/>
  <c r="V51" i="37"/>
  <c r="V50" i="37" s="1"/>
  <c r="U51" i="37"/>
  <c r="U50" i="37" s="1"/>
  <c r="T51" i="37"/>
  <c r="T50" i="37" s="1"/>
  <c r="S51" i="37"/>
  <c r="S50" i="37" s="1"/>
  <c r="R51" i="37"/>
  <c r="R50" i="37" s="1"/>
  <c r="Q51" i="37"/>
  <c r="Q50" i="37" s="1"/>
  <c r="O51" i="37"/>
  <c r="O50" i="37" s="1"/>
  <c r="N51" i="37"/>
  <c r="N50" i="37" s="1"/>
  <c r="M51" i="37"/>
  <c r="M50" i="37" s="1"/>
  <c r="L51" i="37"/>
  <c r="K51" i="37"/>
  <c r="J51" i="37"/>
  <c r="AB46" i="37"/>
  <c r="AA46" i="37"/>
  <c r="Z46" i="37"/>
  <c r="Y46" i="37"/>
  <c r="AB45" i="37"/>
  <c r="AA45" i="37"/>
  <c r="Z45" i="37"/>
  <c r="Y45" i="37"/>
  <c r="AB44" i="37"/>
  <c r="AA44" i="37"/>
  <c r="Z44" i="37"/>
  <c r="Y44" i="37"/>
  <c r="AB43" i="37"/>
  <c r="AA43" i="37"/>
  <c r="Z43" i="37"/>
  <c r="Y43" i="37"/>
  <c r="X42" i="37"/>
  <c r="W42" i="37"/>
  <c r="W37" i="37" s="1"/>
  <c r="V42" i="37"/>
  <c r="V37" i="37" s="1"/>
  <c r="U42" i="37"/>
  <c r="T42" i="37"/>
  <c r="S42" i="37"/>
  <c r="R42" i="37"/>
  <c r="Q42" i="37"/>
  <c r="P42" i="37"/>
  <c r="O42" i="37"/>
  <c r="N42" i="37"/>
  <c r="M42" i="37"/>
  <c r="L42" i="37"/>
  <c r="AB42" i="37" s="1"/>
  <c r="K42" i="37"/>
  <c r="J42" i="37"/>
  <c r="I42" i="37"/>
  <c r="AB41" i="37"/>
  <c r="AA41" i="37"/>
  <c r="Z41" i="37"/>
  <c r="Y41" i="37"/>
  <c r="AB40" i="37"/>
  <c r="AA40" i="37"/>
  <c r="Z40" i="37"/>
  <c r="Y40" i="37"/>
  <c r="AB39" i="37"/>
  <c r="AA39" i="37"/>
  <c r="Z39" i="37"/>
  <c r="Y39" i="37"/>
  <c r="X38" i="37"/>
  <c r="W38" i="37"/>
  <c r="V38" i="37"/>
  <c r="U38" i="37"/>
  <c r="T38" i="37"/>
  <c r="S38" i="37"/>
  <c r="R38" i="37"/>
  <c r="Q38" i="37"/>
  <c r="Q37" i="37" s="1"/>
  <c r="P38" i="37"/>
  <c r="P37" i="37" s="1"/>
  <c r="O38" i="37"/>
  <c r="N38" i="37"/>
  <c r="M38" i="37"/>
  <c r="L38" i="37"/>
  <c r="K38" i="37"/>
  <c r="K37" i="37" s="1"/>
  <c r="J38" i="37"/>
  <c r="I38" i="37"/>
  <c r="Y38" i="37" s="1"/>
  <c r="X37" i="37"/>
  <c r="AB36" i="37"/>
  <c r="AA36" i="37"/>
  <c r="Z36" i="37"/>
  <c r="Y36" i="37"/>
  <c r="AB35" i="37"/>
  <c r="AA35" i="37"/>
  <c r="Z35" i="37"/>
  <c r="Y35" i="37"/>
  <c r="AB34" i="37"/>
  <c r="AA34" i="37"/>
  <c r="Z34" i="37"/>
  <c r="Y34" i="37"/>
  <c r="X33" i="37"/>
  <c r="W33" i="37"/>
  <c r="V33" i="37"/>
  <c r="U33" i="37"/>
  <c r="T33" i="37"/>
  <c r="S33" i="37"/>
  <c r="R33" i="37"/>
  <c r="Q33" i="37"/>
  <c r="P33" i="37"/>
  <c r="O33" i="37"/>
  <c r="N33" i="37"/>
  <c r="M33" i="37"/>
  <c r="L33" i="37"/>
  <c r="K33" i="37"/>
  <c r="AA33" i="37" s="1"/>
  <c r="J33" i="37"/>
  <c r="Z33" i="37" s="1"/>
  <c r="I33" i="37"/>
  <c r="AB32" i="37"/>
  <c r="AA32" i="37"/>
  <c r="Z32" i="37"/>
  <c r="Y32" i="37"/>
  <c r="X31" i="37"/>
  <c r="W31" i="37"/>
  <c r="V31" i="37"/>
  <c r="U31" i="37"/>
  <c r="T31" i="37"/>
  <c r="S31" i="37"/>
  <c r="R31" i="37"/>
  <c r="Q31" i="37"/>
  <c r="P31" i="37"/>
  <c r="O31" i="37"/>
  <c r="O24" i="37" s="1"/>
  <c r="N31" i="37"/>
  <c r="M31" i="37"/>
  <c r="L31" i="37"/>
  <c r="K31" i="37"/>
  <c r="J31" i="37"/>
  <c r="I31" i="37"/>
  <c r="AB30" i="37"/>
  <c r="AA30" i="37"/>
  <c r="Z30" i="37"/>
  <c r="Y30" i="37"/>
  <c r="X29" i="37"/>
  <c r="W29" i="37"/>
  <c r="V29" i="37"/>
  <c r="U29" i="37"/>
  <c r="T29" i="37"/>
  <c r="S29" i="37"/>
  <c r="R29" i="37"/>
  <c r="Q29" i="37"/>
  <c r="P29" i="37"/>
  <c r="O29" i="37"/>
  <c r="N29" i="37"/>
  <c r="M29" i="37"/>
  <c r="L29" i="37"/>
  <c r="K29" i="37"/>
  <c r="AA29" i="37" s="1"/>
  <c r="J29" i="37"/>
  <c r="Z29" i="37" s="1"/>
  <c r="I29" i="37"/>
  <c r="AB28" i="37"/>
  <c r="AA28" i="37"/>
  <c r="Z28" i="37"/>
  <c r="Y28" i="37"/>
  <c r="AB27" i="37"/>
  <c r="AA27" i="37"/>
  <c r="Z27" i="37"/>
  <c r="Y27" i="37"/>
  <c r="X26" i="37"/>
  <c r="W26" i="37"/>
  <c r="V26" i="37"/>
  <c r="U26" i="37"/>
  <c r="T26" i="37"/>
  <c r="S26" i="37"/>
  <c r="R26" i="37"/>
  <c r="Q26" i="37"/>
  <c r="P26" i="37"/>
  <c r="O26" i="37"/>
  <c r="N26" i="37"/>
  <c r="M26" i="37"/>
  <c r="L26" i="37"/>
  <c r="K26" i="37"/>
  <c r="AA26" i="37" s="1"/>
  <c r="J26" i="37"/>
  <c r="Z26" i="37" s="1"/>
  <c r="I26" i="37"/>
  <c r="X25" i="37"/>
  <c r="W25" i="37"/>
  <c r="V25" i="37"/>
  <c r="U25" i="37"/>
  <c r="T25" i="37"/>
  <c r="S25" i="37"/>
  <c r="S24" i="37" s="1"/>
  <c r="R25" i="37"/>
  <c r="R24" i="37" s="1"/>
  <c r="Q25" i="37"/>
  <c r="P25" i="37"/>
  <c r="O25" i="37"/>
  <c r="N25" i="37"/>
  <c r="M25" i="37"/>
  <c r="L25" i="37"/>
  <c r="K25" i="37"/>
  <c r="J25" i="37"/>
  <c r="Z25" i="37" s="1"/>
  <c r="I25" i="37"/>
  <c r="P24" i="37"/>
  <c r="AB23" i="37"/>
  <c r="AA23" i="37"/>
  <c r="Z23" i="37"/>
  <c r="Y23" i="37"/>
  <c r="AB22" i="37"/>
  <c r="AA22" i="37"/>
  <c r="Z22" i="37"/>
  <c r="Y22" i="37"/>
  <c r="X21" i="37"/>
  <c r="W21" i="37"/>
  <c r="V21" i="37"/>
  <c r="U21" i="37"/>
  <c r="T21" i="37"/>
  <c r="S21" i="37"/>
  <c r="R21" i="37"/>
  <c r="Q21" i="37"/>
  <c r="P21" i="37"/>
  <c r="O21" i="37"/>
  <c r="N21" i="37"/>
  <c r="M21" i="37"/>
  <c r="L21" i="37"/>
  <c r="K21" i="37"/>
  <c r="AA21" i="37" s="1"/>
  <c r="J21" i="37"/>
  <c r="Z21" i="37" s="1"/>
  <c r="I21" i="37"/>
  <c r="AB20" i="37"/>
  <c r="AA20" i="37"/>
  <c r="Z20" i="37"/>
  <c r="Y20" i="37"/>
  <c r="AB19" i="37"/>
  <c r="AA19" i="37"/>
  <c r="Z19" i="37"/>
  <c r="Y19" i="37"/>
  <c r="X18" i="37"/>
  <c r="AB18" i="37" s="1"/>
  <c r="W18" i="37"/>
  <c r="AA18" i="37" s="1"/>
  <c r="V18" i="37"/>
  <c r="Z18" i="37" s="1"/>
  <c r="U18" i="37"/>
  <c r="Y18" i="37" s="1"/>
  <c r="W17" i="37"/>
  <c r="V17" i="37"/>
  <c r="T17" i="37"/>
  <c r="S17" i="37"/>
  <c r="R17" i="37"/>
  <c r="Q17" i="37"/>
  <c r="P17" i="37"/>
  <c r="O17" i="37"/>
  <c r="N17" i="37"/>
  <c r="M17" i="37"/>
  <c r="L17" i="37"/>
  <c r="K17" i="37"/>
  <c r="J17" i="37"/>
  <c r="I17" i="37"/>
  <c r="AB16" i="37"/>
  <c r="AA16" i="37"/>
  <c r="Z16" i="37"/>
  <c r="Y16" i="37"/>
  <c r="X15" i="37"/>
  <c r="W15" i="37"/>
  <c r="V15" i="37"/>
  <c r="U15" i="37"/>
  <c r="T15" i="37"/>
  <c r="S15" i="37"/>
  <c r="R15" i="37"/>
  <c r="Q15" i="37"/>
  <c r="P15" i="37"/>
  <c r="O15" i="37"/>
  <c r="N15" i="37"/>
  <c r="M15" i="37"/>
  <c r="L15" i="37"/>
  <c r="K15" i="37"/>
  <c r="AA15" i="37" s="1"/>
  <c r="J15" i="37"/>
  <c r="Z15" i="37" s="1"/>
  <c r="I15" i="37"/>
  <c r="Y15" i="37" s="1"/>
  <c r="AB14" i="37"/>
  <c r="AA14" i="37"/>
  <c r="Z14" i="37"/>
  <c r="Y14" i="37"/>
  <c r="AB13" i="37"/>
  <c r="AA13" i="37"/>
  <c r="Z13" i="37"/>
  <c r="Y13" i="37"/>
  <c r="X12" i="37"/>
  <c r="X11" i="37" s="1"/>
  <c r="X10" i="37" s="1"/>
  <c r="X9" i="37" s="1"/>
  <c r="W12" i="37"/>
  <c r="W11" i="37" s="1"/>
  <c r="W10" i="37" s="1"/>
  <c r="W9" i="37" s="1"/>
  <c r="V12" i="37"/>
  <c r="U12" i="37"/>
  <c r="U11" i="37" s="1"/>
  <c r="U10" i="37" s="1"/>
  <c r="T12" i="37"/>
  <c r="T11" i="37" s="1"/>
  <c r="T10" i="37" s="1"/>
  <c r="T9" i="37" s="1"/>
  <c r="S12" i="37"/>
  <c r="S11" i="37" s="1"/>
  <c r="S10" i="37" s="1"/>
  <c r="S9" i="37" s="1"/>
  <c r="R12" i="37"/>
  <c r="R11" i="37" s="1"/>
  <c r="R10" i="37" s="1"/>
  <c r="R9" i="37" s="1"/>
  <c r="Q12" i="37"/>
  <c r="Q11" i="37" s="1"/>
  <c r="Q10" i="37" s="1"/>
  <c r="Q9" i="37" s="1"/>
  <c r="P12" i="37"/>
  <c r="P11" i="37" s="1"/>
  <c r="P10" i="37" s="1"/>
  <c r="P9" i="37" s="1"/>
  <c r="O12" i="37"/>
  <c r="O11" i="37" s="1"/>
  <c r="O10" i="37" s="1"/>
  <c r="O9" i="37" s="1"/>
  <c r="N12" i="37"/>
  <c r="N11" i="37" s="1"/>
  <c r="N10" i="37" s="1"/>
  <c r="M12" i="37"/>
  <c r="L12" i="37"/>
  <c r="K12" i="37"/>
  <c r="AA12" i="37" s="1"/>
  <c r="J12" i="37"/>
  <c r="V11" i="37"/>
  <c r="V10" i="37" s="1"/>
  <c r="V9" i="37" s="1"/>
  <c r="AB8" i="37"/>
  <c r="AA8" i="37"/>
  <c r="Z8" i="37"/>
  <c r="Y8" i="37"/>
  <c r="AB7" i="37"/>
  <c r="AA7" i="37"/>
  <c r="Z7" i="37"/>
  <c r="Y7" i="37"/>
  <c r="X6" i="37"/>
  <c r="W6" i="37"/>
  <c r="V6" i="37"/>
  <c r="U6" i="37"/>
  <c r="T6" i="37"/>
  <c r="S6" i="37"/>
  <c r="R6" i="37"/>
  <c r="Q6" i="37"/>
  <c r="P6" i="37"/>
  <c r="O6" i="37"/>
  <c r="N6" i="37"/>
  <c r="M6" i="37"/>
  <c r="L6" i="37"/>
  <c r="K6" i="37"/>
  <c r="AA6" i="37" s="1"/>
  <c r="J6" i="37"/>
  <c r="Z6" i="37" s="1"/>
  <c r="I6" i="37"/>
  <c r="Y6" i="37" s="1"/>
  <c r="AB5" i="37"/>
  <c r="AA5" i="37"/>
  <c r="Z5" i="37"/>
  <c r="Y5" i="37"/>
  <c r="O1043" i="49"/>
  <c r="V1043" i="49" s="1"/>
  <c r="O1042" i="49"/>
  <c r="V1042" i="49" s="1"/>
  <c r="O1041" i="49"/>
  <c r="V1041" i="49" s="1"/>
  <c r="O1040" i="49"/>
  <c r="V1040" i="49" s="1"/>
  <c r="O1039" i="49"/>
  <c r="V1039" i="49" s="1"/>
  <c r="U1038" i="49"/>
  <c r="T1038" i="49"/>
  <c r="S1038" i="49"/>
  <c r="S1037" i="49" s="1"/>
  <c r="R1038" i="49"/>
  <c r="R1037" i="49" s="1"/>
  <c r="Q1038" i="49"/>
  <c r="Q1037" i="49" s="1"/>
  <c r="P1038" i="49"/>
  <c r="P1037" i="49" s="1"/>
  <c r="N1038" i="49"/>
  <c r="N1037" i="49" s="1"/>
  <c r="M1038" i="49"/>
  <c r="M1037" i="49" s="1"/>
  <c r="L1038" i="49"/>
  <c r="L1037" i="49" s="1"/>
  <c r="T1037" i="49"/>
  <c r="O1036" i="49"/>
  <c r="V1036" i="49" s="1"/>
  <c r="O1035" i="49"/>
  <c r="V1035" i="49" s="1"/>
  <c r="O1034" i="49"/>
  <c r="V1034" i="49" s="1"/>
  <c r="O1033" i="49"/>
  <c r="V1033" i="49" s="1"/>
  <c r="O1032" i="49"/>
  <c r="V1032" i="49" s="1"/>
  <c r="U1031" i="49"/>
  <c r="T1031" i="49"/>
  <c r="S1031" i="49"/>
  <c r="R1031" i="49"/>
  <c r="R1030" i="49" s="1"/>
  <c r="Q1031" i="49"/>
  <c r="Q1030" i="49" s="1"/>
  <c r="P1031" i="49"/>
  <c r="P1030" i="49" s="1"/>
  <c r="N1031" i="49"/>
  <c r="N1030" i="49" s="1"/>
  <c r="M1031" i="49"/>
  <c r="M1030" i="49" s="1"/>
  <c r="L1031" i="49"/>
  <c r="T1030" i="49"/>
  <c r="S1030" i="49"/>
  <c r="O1029" i="49"/>
  <c r="V1029" i="49" s="1"/>
  <c r="O1028" i="49"/>
  <c r="V1028" i="49" s="1"/>
  <c r="O1027" i="49"/>
  <c r="V1027" i="49" s="1"/>
  <c r="O1026" i="49"/>
  <c r="V1026" i="49" s="1"/>
  <c r="U1025" i="49"/>
  <c r="U1024" i="49" s="1"/>
  <c r="T1025" i="49"/>
  <c r="T1024" i="49" s="1"/>
  <c r="S1025" i="49"/>
  <c r="S1024" i="49" s="1"/>
  <c r="R1025" i="49"/>
  <c r="R1024" i="49" s="1"/>
  <c r="Q1025" i="49"/>
  <c r="Q1024" i="49" s="1"/>
  <c r="P1025" i="49"/>
  <c r="P1024" i="49" s="1"/>
  <c r="N1025" i="49"/>
  <c r="M1025" i="49"/>
  <c r="M1024" i="49" s="1"/>
  <c r="L1025" i="49"/>
  <c r="L1024" i="49" s="1"/>
  <c r="O524" i="49"/>
  <c r="AA524" i="49" s="1"/>
  <c r="O523" i="49"/>
  <c r="AA523" i="49" s="1"/>
  <c r="O522" i="49"/>
  <c r="AA522" i="49" s="1"/>
  <c r="O521" i="49"/>
  <c r="AA521" i="49" s="1"/>
  <c r="O520" i="49"/>
  <c r="AA520" i="49" s="1"/>
  <c r="U519" i="49"/>
  <c r="T519" i="49"/>
  <c r="T518" i="49" s="1"/>
  <c r="S519" i="49"/>
  <c r="S518" i="49" s="1"/>
  <c r="R519" i="49"/>
  <c r="R518" i="49" s="1"/>
  <c r="Q519" i="49"/>
  <c r="Q518" i="49" s="1"/>
  <c r="P519" i="49"/>
  <c r="P518" i="49" s="1"/>
  <c r="N519" i="49"/>
  <c r="N518" i="49" s="1"/>
  <c r="M519" i="49"/>
  <c r="M518" i="49" s="1"/>
  <c r="L519" i="49"/>
  <c r="L518" i="49" s="1"/>
  <c r="O516" i="49"/>
  <c r="AA516" i="49" s="1"/>
  <c r="O515" i="49"/>
  <c r="AA515" i="49" s="1"/>
  <c r="O514" i="49"/>
  <c r="AA514" i="49" s="1"/>
  <c r="O513" i="49"/>
  <c r="AA513" i="49" s="1"/>
  <c r="U512" i="49"/>
  <c r="T512" i="49"/>
  <c r="T511" i="49" s="1"/>
  <c r="S512" i="49"/>
  <c r="S511" i="49" s="1"/>
  <c r="R512" i="49"/>
  <c r="R511" i="49" s="1"/>
  <c r="Q512" i="49"/>
  <c r="Q511" i="49" s="1"/>
  <c r="P512" i="49"/>
  <c r="N512" i="49"/>
  <c r="N511" i="49" s="1"/>
  <c r="M512" i="49"/>
  <c r="M511" i="49" s="1"/>
  <c r="L512" i="49"/>
  <c r="L511" i="49" s="1"/>
  <c r="O510" i="49"/>
  <c r="AA510" i="49" s="1"/>
  <c r="O508" i="49"/>
  <c r="O506" i="49" s="1"/>
  <c r="T506" i="49"/>
  <c r="T505" i="49" s="1"/>
  <c r="S506" i="49"/>
  <c r="S505" i="49" s="1"/>
  <c r="R506" i="49"/>
  <c r="R505" i="49" s="1"/>
  <c r="Q506" i="49"/>
  <c r="Q505" i="49" s="1"/>
  <c r="P506" i="49"/>
  <c r="N506" i="49"/>
  <c r="N505" i="49" s="1"/>
  <c r="M506" i="49"/>
  <c r="M505" i="49" s="1"/>
  <c r="L506" i="49"/>
  <c r="L505" i="49" s="1"/>
  <c r="O503" i="49"/>
  <c r="AA503" i="49" s="1"/>
  <c r="T502" i="49"/>
  <c r="S502" i="49"/>
  <c r="Z502" i="49" s="1"/>
  <c r="AA502" i="49" s="1"/>
  <c r="N502" i="49"/>
  <c r="M502" i="49"/>
  <c r="O501" i="49"/>
  <c r="AA501" i="49" s="1"/>
  <c r="O500" i="49"/>
  <c r="AA500" i="49" s="1"/>
  <c r="O499" i="49"/>
  <c r="AA499" i="49" s="1"/>
  <c r="O498" i="49"/>
  <c r="AA498" i="49" s="1"/>
  <c r="O497" i="49"/>
  <c r="AA497" i="49" s="1"/>
  <c r="O496" i="49"/>
  <c r="AA496" i="49" s="1"/>
  <c r="O495" i="49"/>
  <c r="AA495" i="49" s="1"/>
  <c r="O494" i="49"/>
  <c r="AA494" i="49" s="1"/>
  <c r="O493" i="49"/>
  <c r="AA493" i="49" s="1"/>
  <c r="O492" i="49"/>
  <c r="AA492" i="49" s="1"/>
  <c r="O491" i="49"/>
  <c r="AA491" i="49" s="1"/>
  <c r="O490" i="49"/>
  <c r="AA490" i="49" s="1"/>
  <c r="O489" i="49"/>
  <c r="AA489" i="49" s="1"/>
  <c r="O488" i="49"/>
  <c r="AA488" i="49" s="1"/>
  <c r="O487" i="49"/>
  <c r="AA487" i="49" s="1"/>
  <c r="O486" i="49"/>
  <c r="AA486" i="49" s="1"/>
  <c r="O485" i="49"/>
  <c r="AA485" i="49" s="1"/>
  <c r="O484" i="49"/>
  <c r="AA484" i="49" s="1"/>
  <c r="O483" i="49"/>
  <c r="AA483" i="49" s="1"/>
  <c r="O482" i="49"/>
  <c r="AA482" i="49" s="1"/>
  <c r="O481" i="49"/>
  <c r="AA481" i="49" s="1"/>
  <c r="O480" i="49"/>
  <c r="AA480" i="49" s="1"/>
  <c r="O479" i="49"/>
  <c r="AA479" i="49" s="1"/>
  <c r="O478" i="49"/>
  <c r="AA478" i="49" s="1"/>
  <c r="O477" i="49"/>
  <c r="AA477" i="49" s="1"/>
  <c r="O476" i="49"/>
  <c r="AA476" i="49" s="1"/>
  <c r="O475" i="49"/>
  <c r="AA475" i="49" s="1"/>
  <c r="O474" i="49"/>
  <c r="AA474" i="49" s="1"/>
  <c r="O473" i="49"/>
  <c r="AA473" i="49" s="1"/>
  <c r="O472" i="49"/>
  <c r="AA472" i="49" s="1"/>
  <c r="O471" i="49"/>
  <c r="AA471" i="49" s="1"/>
  <c r="U470" i="49"/>
  <c r="T470" i="49"/>
  <c r="S470" i="49"/>
  <c r="R470" i="49"/>
  <c r="Q470" i="49"/>
  <c r="P470" i="49"/>
  <c r="N470" i="49"/>
  <c r="M470" i="49"/>
  <c r="L470" i="49"/>
  <c r="O469" i="49"/>
  <c r="AA469" i="49" s="1"/>
  <c r="O468" i="49"/>
  <c r="AA468" i="49" s="1"/>
  <c r="O467" i="49"/>
  <c r="AA467" i="49" s="1"/>
  <c r="O466" i="49"/>
  <c r="AA466" i="49" s="1"/>
  <c r="O465" i="49"/>
  <c r="AA465" i="49" s="1"/>
  <c r="O464" i="49"/>
  <c r="AA464" i="49" s="1"/>
  <c r="O463" i="49"/>
  <c r="AA463" i="49" s="1"/>
  <c r="O462" i="49"/>
  <c r="AA462" i="49" s="1"/>
  <c r="O461" i="49"/>
  <c r="AA461" i="49" s="1"/>
  <c r="O460" i="49"/>
  <c r="AA460" i="49" s="1"/>
  <c r="O459" i="49"/>
  <c r="AA459" i="49" s="1"/>
  <c r="O458" i="49"/>
  <c r="AA458" i="49" s="1"/>
  <c r="O457" i="49"/>
  <c r="AA457" i="49" s="1"/>
  <c r="O456" i="49"/>
  <c r="AA456" i="49" s="1"/>
  <c r="O455" i="49"/>
  <c r="AA455" i="49" s="1"/>
  <c r="O454" i="49"/>
  <c r="AA454" i="49" s="1"/>
  <c r="O453" i="49"/>
  <c r="AA453" i="49" s="1"/>
  <c r="O452" i="49"/>
  <c r="AA452" i="49" s="1"/>
  <c r="O451" i="49"/>
  <c r="AA451" i="49" s="1"/>
  <c r="O450" i="49"/>
  <c r="AA450" i="49" s="1"/>
  <c r="O449" i="49"/>
  <c r="AA449" i="49" s="1"/>
  <c r="O448" i="49"/>
  <c r="AA448" i="49" s="1"/>
  <c r="O447" i="49"/>
  <c r="AA447" i="49" s="1"/>
  <c r="O446" i="49"/>
  <c r="AA446" i="49" s="1"/>
  <c r="O445" i="49"/>
  <c r="AA445" i="49" s="1"/>
  <c r="O444" i="49"/>
  <c r="AA444" i="49" s="1"/>
  <c r="O443" i="49"/>
  <c r="AA443" i="49" s="1"/>
  <c r="O442" i="49"/>
  <c r="AA442" i="49" s="1"/>
  <c r="O441" i="49"/>
  <c r="AA441" i="49" s="1"/>
  <c r="O440" i="49"/>
  <c r="AA440" i="49" s="1"/>
  <c r="O439" i="49"/>
  <c r="AA439" i="49" s="1"/>
  <c r="U438" i="49"/>
  <c r="T438" i="49"/>
  <c r="S438" i="49"/>
  <c r="R438" i="49"/>
  <c r="Q438" i="49"/>
  <c r="P438" i="49"/>
  <c r="N438" i="49"/>
  <c r="M438" i="49"/>
  <c r="L438" i="49"/>
  <c r="O437" i="49"/>
  <c r="AA437" i="49" s="1"/>
  <c r="O436" i="49"/>
  <c r="AA436" i="49" s="1"/>
  <c r="O435" i="49"/>
  <c r="AA435" i="49" s="1"/>
  <c r="O434" i="49"/>
  <c r="AA434" i="49" s="1"/>
  <c r="O433" i="49"/>
  <c r="AA433" i="49" s="1"/>
  <c r="O432" i="49"/>
  <c r="AA432" i="49" s="1"/>
  <c r="O431" i="49"/>
  <c r="AA431" i="49" s="1"/>
  <c r="O430" i="49"/>
  <c r="AA430" i="49" s="1"/>
  <c r="O429" i="49"/>
  <c r="AA429" i="49" s="1"/>
  <c r="O428" i="49"/>
  <c r="AA428" i="49" s="1"/>
  <c r="O427" i="49"/>
  <c r="AA427" i="49" s="1"/>
  <c r="O426" i="49"/>
  <c r="AA426" i="49" s="1"/>
  <c r="O425" i="49"/>
  <c r="AA425" i="49" s="1"/>
  <c r="O424" i="49"/>
  <c r="AA424" i="49" s="1"/>
  <c r="O423" i="49"/>
  <c r="AA423" i="49" s="1"/>
  <c r="O422" i="49"/>
  <c r="AA422" i="49" s="1"/>
  <c r="O421" i="49"/>
  <c r="AA421" i="49" s="1"/>
  <c r="O420" i="49"/>
  <c r="AA420" i="49" s="1"/>
  <c r="O419" i="49"/>
  <c r="AA419" i="49" s="1"/>
  <c r="O418" i="49"/>
  <c r="AA418" i="49" s="1"/>
  <c r="O417" i="49"/>
  <c r="AA417" i="49" s="1"/>
  <c r="O416" i="49"/>
  <c r="AA416" i="49" s="1"/>
  <c r="O415" i="49"/>
  <c r="AA415" i="49" s="1"/>
  <c r="O414" i="49"/>
  <c r="AA414" i="49" s="1"/>
  <c r="O413" i="49"/>
  <c r="AA413" i="49" s="1"/>
  <c r="O412" i="49"/>
  <c r="AA412" i="49" s="1"/>
  <c r="O411" i="49"/>
  <c r="AA411" i="49" s="1"/>
  <c r="O410" i="49"/>
  <c r="AA410" i="49" s="1"/>
  <c r="O409" i="49"/>
  <c r="AA409" i="49" s="1"/>
  <c r="O408" i="49"/>
  <c r="AA408" i="49" s="1"/>
  <c r="O407" i="49"/>
  <c r="AA407" i="49" s="1"/>
  <c r="O406" i="49"/>
  <c r="AA406" i="49" s="1"/>
  <c r="U405" i="49"/>
  <c r="T405" i="49"/>
  <c r="S405" i="49"/>
  <c r="R405" i="49"/>
  <c r="Q405" i="49"/>
  <c r="P405" i="49"/>
  <c r="N405" i="49"/>
  <c r="M405" i="49"/>
  <c r="L405" i="49"/>
  <c r="O403" i="49"/>
  <c r="U402" i="49"/>
  <c r="T402" i="49"/>
  <c r="S402" i="49"/>
  <c r="R402" i="49"/>
  <c r="P402" i="49"/>
  <c r="N402" i="49"/>
  <c r="M402" i="49"/>
  <c r="L402" i="49"/>
  <c r="O401" i="49"/>
  <c r="AA401" i="49" s="1"/>
  <c r="O400" i="49"/>
  <c r="AA400" i="49" s="1"/>
  <c r="O399" i="49"/>
  <c r="AA399" i="49" s="1"/>
  <c r="O398" i="49"/>
  <c r="AA398" i="49" s="1"/>
  <c r="O397" i="49"/>
  <c r="AA397" i="49" s="1"/>
  <c r="U396" i="49"/>
  <c r="T396" i="49"/>
  <c r="S396" i="49"/>
  <c r="R396" i="49"/>
  <c r="Q396" i="49"/>
  <c r="P396" i="49"/>
  <c r="N396" i="49"/>
  <c r="M396" i="49"/>
  <c r="L396" i="49"/>
  <c r="O395" i="49"/>
  <c r="AA395" i="49" s="1"/>
  <c r="O394" i="49"/>
  <c r="AA394" i="49" s="1"/>
  <c r="U393" i="49"/>
  <c r="T393" i="49"/>
  <c r="S393" i="49"/>
  <c r="R393" i="49"/>
  <c r="Q393" i="49"/>
  <c r="P393" i="49"/>
  <c r="N393" i="49"/>
  <c r="M393" i="49"/>
  <c r="L393" i="49"/>
  <c r="O392" i="49"/>
  <c r="AA392" i="49" s="1"/>
  <c r="O391" i="49"/>
  <c r="AA391" i="49" s="1"/>
  <c r="U390" i="49"/>
  <c r="T390" i="49"/>
  <c r="S390" i="49"/>
  <c r="R390" i="49"/>
  <c r="Q390" i="49"/>
  <c r="P390" i="49"/>
  <c r="N390" i="49"/>
  <c r="M390" i="49"/>
  <c r="L390" i="49"/>
  <c r="O389" i="49"/>
  <c r="AA389" i="49" s="1"/>
  <c r="O388" i="49"/>
  <c r="AA388" i="49" s="1"/>
  <c r="O387" i="49"/>
  <c r="AA387" i="49" s="1"/>
  <c r="U386" i="49"/>
  <c r="T386" i="49"/>
  <c r="S386" i="49"/>
  <c r="R386" i="49"/>
  <c r="Q386" i="49"/>
  <c r="P386" i="49"/>
  <c r="N386" i="49"/>
  <c r="M386" i="49"/>
  <c r="L386" i="49"/>
  <c r="O385" i="49"/>
  <c r="AA385" i="49" s="1"/>
  <c r="O384" i="49"/>
  <c r="AA384" i="49" s="1"/>
  <c r="U383" i="49"/>
  <c r="T383" i="49"/>
  <c r="S383" i="49"/>
  <c r="R383" i="49"/>
  <c r="Q383" i="49"/>
  <c r="P383" i="49"/>
  <c r="N383" i="49"/>
  <c r="M383" i="49"/>
  <c r="L383" i="49"/>
  <c r="O382" i="49"/>
  <c r="AA382" i="49" s="1"/>
  <c r="O381" i="49"/>
  <c r="AA381" i="49" s="1"/>
  <c r="U380" i="49"/>
  <c r="T380" i="49"/>
  <c r="S380" i="49"/>
  <c r="R380" i="49"/>
  <c r="Q380" i="49"/>
  <c r="P380" i="49"/>
  <c r="N380" i="49"/>
  <c r="M380" i="49"/>
  <c r="L380" i="49"/>
  <c r="O377" i="49"/>
  <c r="AA377" i="49" s="1"/>
  <c r="O376" i="49"/>
  <c r="AA376" i="49" s="1"/>
  <c r="O375" i="49"/>
  <c r="AA375" i="49" s="1"/>
  <c r="O374" i="49"/>
  <c r="AA374" i="49" s="1"/>
  <c r="O373" i="49"/>
  <c r="AA373" i="49" s="1"/>
  <c r="O372" i="49"/>
  <c r="AA372" i="49" s="1"/>
  <c r="U371" i="49"/>
  <c r="T371" i="49"/>
  <c r="T370" i="49" s="1"/>
  <c r="S371" i="49"/>
  <c r="S370" i="49" s="1"/>
  <c r="R371" i="49"/>
  <c r="R370" i="49" s="1"/>
  <c r="Q371" i="49"/>
  <c r="Q370" i="49" s="1"/>
  <c r="P371" i="49"/>
  <c r="P370" i="49" s="1"/>
  <c r="N371" i="49"/>
  <c r="N370" i="49" s="1"/>
  <c r="M371" i="49"/>
  <c r="M370" i="49" s="1"/>
  <c r="L371" i="49"/>
  <c r="L370" i="49" s="1"/>
  <c r="O369" i="49"/>
  <c r="AA369" i="49" s="1"/>
  <c r="O368" i="49"/>
  <c r="AA368" i="49" s="1"/>
  <c r="O367" i="49"/>
  <c r="AA367" i="49" s="1"/>
  <c r="O366" i="49"/>
  <c r="AA366" i="49" s="1"/>
  <c r="O365" i="49"/>
  <c r="AA365" i="49" s="1"/>
  <c r="U364" i="49"/>
  <c r="T364" i="49"/>
  <c r="S364" i="49"/>
  <c r="R364" i="49"/>
  <c r="Q364" i="49"/>
  <c r="P364" i="49"/>
  <c r="N364" i="49"/>
  <c r="M364" i="49"/>
  <c r="L364" i="49"/>
  <c r="O362" i="49"/>
  <c r="AA362" i="49" s="1"/>
  <c r="O361" i="49"/>
  <c r="U360" i="49"/>
  <c r="T360" i="49"/>
  <c r="S360" i="49"/>
  <c r="R360" i="49"/>
  <c r="Q360" i="49"/>
  <c r="P360" i="49"/>
  <c r="N360" i="49"/>
  <c r="M360" i="49"/>
  <c r="L360" i="49"/>
  <c r="O359" i="49"/>
  <c r="AA359" i="49" s="1"/>
  <c r="O358" i="49"/>
  <c r="AA358" i="49" s="1"/>
  <c r="O357" i="49"/>
  <c r="AA357" i="49" s="1"/>
  <c r="U356" i="49"/>
  <c r="T356" i="49"/>
  <c r="S356" i="49"/>
  <c r="R356" i="49"/>
  <c r="Q356" i="49"/>
  <c r="P356" i="49"/>
  <c r="N356" i="49"/>
  <c r="M356" i="49"/>
  <c r="L356" i="49"/>
  <c r="O355" i="49"/>
  <c r="AA355" i="49" s="1"/>
  <c r="O354" i="49"/>
  <c r="AA354" i="49" s="1"/>
  <c r="O353" i="49"/>
  <c r="AA353" i="49" s="1"/>
  <c r="U352" i="49"/>
  <c r="T352" i="49"/>
  <c r="S352" i="49"/>
  <c r="R352" i="49"/>
  <c r="Q352" i="49"/>
  <c r="P352" i="49"/>
  <c r="N352" i="49"/>
  <c r="M352" i="49"/>
  <c r="L352" i="49"/>
  <c r="O351" i="49"/>
  <c r="AA351" i="49" s="1"/>
  <c r="O350" i="49"/>
  <c r="AA350" i="49" s="1"/>
  <c r="U349" i="49"/>
  <c r="T349" i="49"/>
  <c r="S349" i="49"/>
  <c r="R349" i="49"/>
  <c r="Q349" i="49"/>
  <c r="P349" i="49"/>
  <c r="N349" i="49"/>
  <c r="M349" i="49"/>
  <c r="L349" i="49"/>
  <c r="O348" i="49"/>
  <c r="AA348" i="49" s="1"/>
  <c r="O347" i="49"/>
  <c r="AA347" i="49" s="1"/>
  <c r="O344" i="49"/>
  <c r="AA344" i="49" s="1"/>
  <c r="O343" i="49"/>
  <c r="AA343" i="49" s="1"/>
  <c r="O342" i="49"/>
  <c r="AA342" i="49" s="1"/>
  <c r="O341" i="49"/>
  <c r="AA341" i="49" s="1"/>
  <c r="O340" i="49"/>
  <c r="AA340" i="49" s="1"/>
  <c r="O339" i="49"/>
  <c r="AA339" i="49" s="1"/>
  <c r="O338" i="49"/>
  <c r="AA338" i="49" s="1"/>
  <c r="O337" i="49"/>
  <c r="AA337" i="49" s="1"/>
  <c r="O336" i="49"/>
  <c r="AA336" i="49" s="1"/>
  <c r="O335" i="49"/>
  <c r="AA335" i="49" s="1"/>
  <c r="O334" i="49"/>
  <c r="AA334" i="49" s="1"/>
  <c r="O333" i="49"/>
  <c r="AA333" i="49" s="1"/>
  <c r="O332" i="49"/>
  <c r="AA332" i="49" s="1"/>
  <c r="O331" i="49"/>
  <c r="AA331" i="49" s="1"/>
  <c r="O330" i="49"/>
  <c r="AA330" i="49" s="1"/>
  <c r="O329" i="49"/>
  <c r="AA329" i="49" s="1"/>
  <c r="O328" i="49"/>
  <c r="AA328" i="49" s="1"/>
  <c r="O327" i="49"/>
  <c r="AA327" i="49" s="1"/>
  <c r="O326" i="49"/>
  <c r="AA326" i="49" s="1"/>
  <c r="O325" i="49"/>
  <c r="AA325" i="49" s="1"/>
  <c r="O324" i="49"/>
  <c r="AA324" i="49" s="1"/>
  <c r="O323" i="49"/>
  <c r="AA323" i="49" s="1"/>
  <c r="O322" i="49"/>
  <c r="AA322" i="49" s="1"/>
  <c r="O321" i="49"/>
  <c r="AA321" i="49" s="1"/>
  <c r="O320" i="49"/>
  <c r="AA320" i="49" s="1"/>
  <c r="O319" i="49"/>
  <c r="AA319" i="49" s="1"/>
  <c r="O318" i="49"/>
  <c r="AA318" i="49" s="1"/>
  <c r="O317" i="49"/>
  <c r="AA317" i="49" s="1"/>
  <c r="O316" i="49"/>
  <c r="AA316" i="49" s="1"/>
  <c r="O315" i="49"/>
  <c r="AA315" i="49" s="1"/>
  <c r="O314" i="49"/>
  <c r="AA314" i="49" s="1"/>
  <c r="O313" i="49"/>
  <c r="AA313" i="49" s="1"/>
  <c r="O312" i="49"/>
  <c r="AA312" i="49" s="1"/>
  <c r="O311" i="49"/>
  <c r="AA311" i="49" s="1"/>
  <c r="U310" i="49"/>
  <c r="T310" i="49"/>
  <c r="T308" i="49" s="1"/>
  <c r="S310" i="49"/>
  <c r="S308" i="49" s="1"/>
  <c r="Z308" i="49" s="1"/>
  <c r="N310" i="49"/>
  <c r="N308" i="49" s="1"/>
  <c r="M310" i="49"/>
  <c r="M308" i="49" s="1"/>
  <c r="O309" i="49"/>
  <c r="O307" i="49"/>
  <c r="AA307" i="49" s="1"/>
  <c r="O306" i="49"/>
  <c r="AA306" i="49" s="1"/>
  <c r="O305" i="49"/>
  <c r="AA305" i="49" s="1"/>
  <c r="U304" i="49"/>
  <c r="T304" i="49"/>
  <c r="S304" i="49"/>
  <c r="R304" i="49"/>
  <c r="Q304" i="49"/>
  <c r="P304" i="49"/>
  <c r="N304" i="49"/>
  <c r="M304" i="49"/>
  <c r="L304" i="49"/>
  <c r="O303" i="49"/>
  <c r="AA303" i="49" s="1"/>
  <c r="O302" i="49"/>
  <c r="AA302" i="49" s="1"/>
  <c r="O301" i="49"/>
  <c r="AA301" i="49" s="1"/>
  <c r="U300" i="49"/>
  <c r="T300" i="49"/>
  <c r="S300" i="49"/>
  <c r="R300" i="49"/>
  <c r="Q300" i="49"/>
  <c r="P300" i="49"/>
  <c r="N300" i="49"/>
  <c r="M300" i="49"/>
  <c r="L300" i="49"/>
  <c r="O299" i="49"/>
  <c r="AA299" i="49" s="1"/>
  <c r="O298" i="49"/>
  <c r="AA298" i="49" s="1"/>
  <c r="O297" i="49"/>
  <c r="AA297" i="49" s="1"/>
  <c r="U296" i="49"/>
  <c r="T296" i="49"/>
  <c r="S296" i="49"/>
  <c r="R296" i="49"/>
  <c r="Q296" i="49"/>
  <c r="P296" i="49"/>
  <c r="N296" i="49"/>
  <c r="M296" i="49"/>
  <c r="L296" i="49"/>
  <c r="O294" i="49"/>
  <c r="AA294" i="49" s="1"/>
  <c r="O293" i="49"/>
  <c r="AA293" i="49" s="1"/>
  <c r="U292" i="49"/>
  <c r="T292" i="49"/>
  <c r="S292" i="49"/>
  <c r="R292" i="49"/>
  <c r="Q292" i="49"/>
  <c r="P292" i="49"/>
  <c r="N292" i="49"/>
  <c r="M292" i="49"/>
  <c r="O291" i="49"/>
  <c r="AA291" i="49" s="1"/>
  <c r="O290" i="49"/>
  <c r="AA290" i="49" s="1"/>
  <c r="O289" i="49"/>
  <c r="AA289" i="49" s="1"/>
  <c r="U288" i="49"/>
  <c r="T288" i="49"/>
  <c r="S288" i="49"/>
  <c r="R288" i="49"/>
  <c r="Q288" i="49"/>
  <c r="P288" i="49"/>
  <c r="N288" i="49"/>
  <c r="M288" i="49"/>
  <c r="L288" i="49"/>
  <c r="O286" i="49"/>
  <c r="AA286" i="49" s="1"/>
  <c r="O285" i="49"/>
  <c r="AA285" i="49" s="1"/>
  <c r="O284" i="49"/>
  <c r="AA284" i="49" s="1"/>
  <c r="U283" i="49"/>
  <c r="T283" i="49"/>
  <c r="S283" i="49"/>
  <c r="R283" i="49"/>
  <c r="Q283" i="49"/>
  <c r="P283" i="49"/>
  <c r="N283" i="49"/>
  <c r="M283" i="49"/>
  <c r="L283" i="49"/>
  <c r="O282" i="49"/>
  <c r="AA282" i="49" s="1"/>
  <c r="O281" i="49"/>
  <c r="AA281" i="49" s="1"/>
  <c r="O280" i="49"/>
  <c r="AA280" i="49" s="1"/>
  <c r="U279" i="49"/>
  <c r="T279" i="49"/>
  <c r="S279" i="49"/>
  <c r="R279" i="49"/>
  <c r="Q279" i="49"/>
  <c r="P279" i="49"/>
  <c r="N279" i="49"/>
  <c r="M279" i="49"/>
  <c r="L279" i="49"/>
  <c r="O277" i="49"/>
  <c r="AA277" i="49" s="1"/>
  <c r="O276" i="49"/>
  <c r="AA276" i="49" s="1"/>
  <c r="O275" i="49"/>
  <c r="AA275" i="49" s="1"/>
  <c r="U274" i="49"/>
  <c r="T274" i="49"/>
  <c r="S274" i="49"/>
  <c r="R274" i="49"/>
  <c r="Q274" i="49"/>
  <c r="P274" i="49"/>
  <c r="N274" i="49"/>
  <c r="M274" i="49"/>
  <c r="L274" i="49"/>
  <c r="O273" i="49"/>
  <c r="AA273" i="49" s="1"/>
  <c r="O272" i="49"/>
  <c r="AA272" i="49" s="1"/>
  <c r="O271" i="49"/>
  <c r="AA271" i="49" s="1"/>
  <c r="U270" i="49"/>
  <c r="T270" i="49"/>
  <c r="S270" i="49"/>
  <c r="R270" i="49"/>
  <c r="Q270" i="49"/>
  <c r="P270" i="49"/>
  <c r="N270" i="49"/>
  <c r="M270" i="49"/>
  <c r="L270" i="49"/>
  <c r="O269" i="49"/>
  <c r="AA269" i="49" s="1"/>
  <c r="O268" i="49"/>
  <c r="AA268" i="49" s="1"/>
  <c r="O267" i="49"/>
  <c r="AA267" i="49" s="1"/>
  <c r="U266" i="49"/>
  <c r="T266" i="49"/>
  <c r="S266" i="49"/>
  <c r="R266" i="49"/>
  <c r="Q266" i="49"/>
  <c r="P266" i="49"/>
  <c r="N266" i="49"/>
  <c r="M266" i="49"/>
  <c r="L266" i="49"/>
  <c r="O264" i="49"/>
  <c r="AA264" i="49" s="1"/>
  <c r="O263" i="49"/>
  <c r="AA263" i="49" s="1"/>
  <c r="O262" i="49"/>
  <c r="AA262" i="49" s="1"/>
  <c r="U261" i="49"/>
  <c r="T261" i="49"/>
  <c r="S261" i="49"/>
  <c r="R261" i="49"/>
  <c r="Q261" i="49"/>
  <c r="P261" i="49"/>
  <c r="N261" i="49"/>
  <c r="M261" i="49"/>
  <c r="L261" i="49"/>
  <c r="O260" i="49"/>
  <c r="AA260" i="49" s="1"/>
  <c r="O259" i="49"/>
  <c r="AA259" i="49" s="1"/>
  <c r="O258" i="49"/>
  <c r="AA258" i="49" s="1"/>
  <c r="U257" i="49"/>
  <c r="T257" i="49"/>
  <c r="S257" i="49"/>
  <c r="R257" i="49"/>
  <c r="Q257" i="49"/>
  <c r="P257" i="49"/>
  <c r="N257" i="49"/>
  <c r="M257" i="49"/>
  <c r="L257" i="49"/>
  <c r="O255" i="49"/>
  <c r="AA255" i="49" s="1"/>
  <c r="O254" i="49"/>
  <c r="AA254" i="49" s="1"/>
  <c r="O253" i="49"/>
  <c r="AA253" i="49" s="1"/>
  <c r="U252" i="49"/>
  <c r="T252" i="49"/>
  <c r="S252" i="49"/>
  <c r="R252" i="49"/>
  <c r="Q252" i="49"/>
  <c r="P252" i="49"/>
  <c r="N252" i="49"/>
  <c r="M252" i="49"/>
  <c r="L252" i="49"/>
  <c r="O251" i="49"/>
  <c r="AA251" i="49" s="1"/>
  <c r="O250" i="49"/>
  <c r="AA250" i="49" s="1"/>
  <c r="O249" i="49"/>
  <c r="AA249" i="49" s="1"/>
  <c r="U248" i="49"/>
  <c r="T248" i="49"/>
  <c r="S248" i="49"/>
  <c r="R248" i="49"/>
  <c r="Q248" i="49"/>
  <c r="P248" i="49"/>
  <c r="N248" i="49"/>
  <c r="M248" i="49"/>
  <c r="L248" i="49"/>
  <c r="O245" i="49"/>
  <c r="AA245" i="49" s="1"/>
  <c r="O244" i="49"/>
  <c r="AA244" i="49" s="1"/>
  <c r="O243" i="49"/>
  <c r="U242" i="49"/>
  <c r="T242" i="49"/>
  <c r="S242" i="49"/>
  <c r="R242" i="49"/>
  <c r="Q242" i="49"/>
  <c r="P242" i="49"/>
  <c r="N242" i="49"/>
  <c r="M242" i="49"/>
  <c r="L242" i="49"/>
  <c r="O241" i="49"/>
  <c r="AA241" i="49" s="1"/>
  <c r="O240" i="49"/>
  <c r="AA240" i="49" s="1"/>
  <c r="O239" i="49"/>
  <c r="AA239" i="49" s="1"/>
  <c r="U238" i="49"/>
  <c r="T238" i="49"/>
  <c r="S238" i="49"/>
  <c r="R238" i="49"/>
  <c r="Q238" i="49"/>
  <c r="P238" i="49"/>
  <c r="N238" i="49"/>
  <c r="M238" i="49"/>
  <c r="L238" i="49"/>
  <c r="O237" i="49"/>
  <c r="AA237" i="49" s="1"/>
  <c r="O236" i="49"/>
  <c r="AA236" i="49" s="1"/>
  <c r="O235" i="49"/>
  <c r="AA235" i="49" s="1"/>
  <c r="U234" i="49"/>
  <c r="T234" i="49"/>
  <c r="S234" i="49"/>
  <c r="R234" i="49"/>
  <c r="Q234" i="49"/>
  <c r="P234" i="49"/>
  <c r="N234" i="49"/>
  <c r="M234" i="49"/>
  <c r="L234" i="49"/>
  <c r="O233" i="49"/>
  <c r="O232" i="49"/>
  <c r="AA232" i="49" s="1"/>
  <c r="O231" i="49"/>
  <c r="AA231" i="49" s="1"/>
  <c r="U230" i="49"/>
  <c r="T230" i="49"/>
  <c r="S230" i="49"/>
  <c r="R230" i="49"/>
  <c r="Q230" i="49"/>
  <c r="P230" i="49"/>
  <c r="N230" i="49"/>
  <c r="M230" i="49"/>
  <c r="L230" i="49"/>
  <c r="O226" i="49"/>
  <c r="AA226" i="49" s="1"/>
  <c r="O225" i="49"/>
  <c r="AA225" i="49" s="1"/>
  <c r="O224" i="49"/>
  <c r="AA224" i="49" s="1"/>
  <c r="U223" i="49"/>
  <c r="T223" i="49"/>
  <c r="S223" i="49"/>
  <c r="R223" i="49"/>
  <c r="Q223" i="49"/>
  <c r="P223" i="49"/>
  <c r="N223" i="49"/>
  <c r="M223" i="49"/>
  <c r="L223" i="49"/>
  <c r="O222" i="49"/>
  <c r="AA222" i="49" s="1"/>
  <c r="O221" i="49"/>
  <c r="AA221" i="49" s="1"/>
  <c r="O220" i="49"/>
  <c r="AA220" i="49" s="1"/>
  <c r="U219" i="49"/>
  <c r="T219" i="49"/>
  <c r="S219" i="49"/>
  <c r="R219" i="49"/>
  <c r="Q219" i="49"/>
  <c r="P219" i="49"/>
  <c r="N219" i="49"/>
  <c r="M219" i="49"/>
  <c r="L219" i="49"/>
  <c r="O218" i="49"/>
  <c r="AA218" i="49" s="1"/>
  <c r="O217" i="49"/>
  <c r="AA217" i="49" s="1"/>
  <c r="O216" i="49"/>
  <c r="AA216" i="49" s="1"/>
  <c r="U215" i="49"/>
  <c r="T215" i="49"/>
  <c r="S215" i="49"/>
  <c r="R215" i="49"/>
  <c r="Q215" i="49"/>
  <c r="P215" i="49"/>
  <c r="N215" i="49"/>
  <c r="M215" i="49"/>
  <c r="L215" i="49"/>
  <c r="O214" i="49"/>
  <c r="AA214" i="49" s="1"/>
  <c r="O213" i="49"/>
  <c r="AA213" i="49" s="1"/>
  <c r="O212" i="49"/>
  <c r="AA212" i="49" s="1"/>
  <c r="U211" i="49"/>
  <c r="T211" i="49"/>
  <c r="S211" i="49"/>
  <c r="R211" i="49"/>
  <c r="Q211" i="49"/>
  <c r="P211" i="49"/>
  <c r="N211" i="49"/>
  <c r="M211" i="49"/>
  <c r="L211" i="49"/>
  <c r="O210" i="49"/>
  <c r="AA210" i="49" s="1"/>
  <c r="O209" i="49"/>
  <c r="AA209" i="49" s="1"/>
  <c r="O208" i="49"/>
  <c r="AA208" i="49" s="1"/>
  <c r="U207" i="49"/>
  <c r="T207" i="49"/>
  <c r="S207" i="49"/>
  <c r="R207" i="49"/>
  <c r="Q207" i="49"/>
  <c r="P207" i="49"/>
  <c r="N207" i="49"/>
  <c r="M207" i="49"/>
  <c r="L207" i="49"/>
  <c r="O204" i="49"/>
  <c r="AA204" i="49" s="1"/>
  <c r="O203" i="49"/>
  <c r="AA203" i="49" s="1"/>
  <c r="O202" i="49"/>
  <c r="AA202" i="49" s="1"/>
  <c r="U201" i="49"/>
  <c r="T201" i="49"/>
  <c r="T200" i="49" s="1"/>
  <c r="T199" i="49" s="1"/>
  <c r="S201" i="49"/>
  <c r="S200" i="49" s="1"/>
  <c r="S199" i="49" s="1"/>
  <c r="R201" i="49"/>
  <c r="R200" i="49" s="1"/>
  <c r="R199" i="49" s="1"/>
  <c r="Q201" i="49"/>
  <c r="Q200" i="49" s="1"/>
  <c r="Q199" i="49" s="1"/>
  <c r="P201" i="49"/>
  <c r="P200" i="49" s="1"/>
  <c r="P199" i="49" s="1"/>
  <c r="N201" i="49"/>
  <c r="N200" i="49" s="1"/>
  <c r="N199" i="49" s="1"/>
  <c r="M201" i="49"/>
  <c r="M200" i="49" s="1"/>
  <c r="M199" i="49" s="1"/>
  <c r="L201" i="49"/>
  <c r="L200" i="49" s="1"/>
  <c r="L199" i="49" s="1"/>
  <c r="O198" i="49"/>
  <c r="AA198" i="49" s="1"/>
  <c r="O197" i="49"/>
  <c r="AA197" i="49" s="1"/>
  <c r="O196" i="49"/>
  <c r="AA196" i="49" s="1"/>
  <c r="U195" i="49"/>
  <c r="T195" i="49"/>
  <c r="T194" i="49" s="1"/>
  <c r="S195" i="49"/>
  <c r="S194" i="49" s="1"/>
  <c r="R195" i="49"/>
  <c r="R194" i="49" s="1"/>
  <c r="Q195" i="49"/>
  <c r="Q194" i="49" s="1"/>
  <c r="P195" i="49"/>
  <c r="P194" i="49" s="1"/>
  <c r="N195" i="49"/>
  <c r="N194" i="49" s="1"/>
  <c r="M195" i="49"/>
  <c r="M194" i="49" s="1"/>
  <c r="L195" i="49"/>
  <c r="L194" i="49" s="1"/>
  <c r="O193" i="49"/>
  <c r="AA193" i="49" s="1"/>
  <c r="O192" i="49"/>
  <c r="AA192" i="49" s="1"/>
  <c r="O191" i="49"/>
  <c r="AA191" i="49" s="1"/>
  <c r="U190" i="49"/>
  <c r="T190" i="49"/>
  <c r="S190" i="49"/>
  <c r="S189" i="49" s="1"/>
  <c r="R190" i="49"/>
  <c r="R189" i="49" s="1"/>
  <c r="Q190" i="49"/>
  <c r="Q189" i="49" s="1"/>
  <c r="P190" i="49"/>
  <c r="P189" i="49" s="1"/>
  <c r="N190" i="49"/>
  <c r="N189" i="49" s="1"/>
  <c r="M190" i="49"/>
  <c r="M189" i="49" s="1"/>
  <c r="L190" i="49"/>
  <c r="L189" i="49" s="1"/>
  <c r="L188" i="49" s="1"/>
  <c r="T189" i="49"/>
  <c r="O186" i="49"/>
  <c r="AA186" i="49" s="1"/>
  <c r="O185" i="49"/>
  <c r="AA185" i="49" s="1"/>
  <c r="O184" i="49"/>
  <c r="AA184" i="49" s="1"/>
  <c r="U183" i="49"/>
  <c r="T183" i="49"/>
  <c r="S183" i="49"/>
  <c r="R183" i="49"/>
  <c r="Q183" i="49"/>
  <c r="P183" i="49"/>
  <c r="N183" i="49"/>
  <c r="M183" i="49"/>
  <c r="L183" i="49"/>
  <c r="O182" i="49"/>
  <c r="AA182" i="49" s="1"/>
  <c r="O181" i="49"/>
  <c r="AA181" i="49" s="1"/>
  <c r="O180" i="49"/>
  <c r="AA180" i="49" s="1"/>
  <c r="U179" i="49"/>
  <c r="T179" i="49"/>
  <c r="S179" i="49"/>
  <c r="R179" i="49"/>
  <c r="Q179" i="49"/>
  <c r="P179" i="49"/>
  <c r="N179" i="49"/>
  <c r="M179" i="49"/>
  <c r="L179" i="49"/>
  <c r="O178" i="49"/>
  <c r="AA178" i="49" s="1"/>
  <c r="O177" i="49"/>
  <c r="AA177" i="49" s="1"/>
  <c r="O176" i="49"/>
  <c r="AA176" i="49" s="1"/>
  <c r="U175" i="49"/>
  <c r="T175" i="49"/>
  <c r="S175" i="49"/>
  <c r="R175" i="49"/>
  <c r="Q175" i="49"/>
  <c r="P175" i="49"/>
  <c r="N175" i="49"/>
  <c r="M175" i="49"/>
  <c r="L175" i="49"/>
  <c r="O174" i="49"/>
  <c r="AA174" i="49" s="1"/>
  <c r="O173" i="49"/>
  <c r="AA173" i="49" s="1"/>
  <c r="O172" i="49"/>
  <c r="AA172" i="49" s="1"/>
  <c r="U171" i="49"/>
  <c r="T171" i="49"/>
  <c r="S171" i="49"/>
  <c r="R171" i="49"/>
  <c r="Q171" i="49"/>
  <c r="P171" i="49"/>
  <c r="N171" i="49"/>
  <c r="M171" i="49"/>
  <c r="L171" i="49"/>
  <c r="O170" i="49"/>
  <c r="AA170" i="49" s="1"/>
  <c r="O169" i="49"/>
  <c r="AA169" i="49" s="1"/>
  <c r="O168" i="49"/>
  <c r="AA168" i="49" s="1"/>
  <c r="U167" i="49"/>
  <c r="T167" i="49"/>
  <c r="S167" i="49"/>
  <c r="R167" i="49"/>
  <c r="Q167" i="49"/>
  <c r="P167" i="49"/>
  <c r="N167" i="49"/>
  <c r="M167" i="49"/>
  <c r="L167" i="49"/>
  <c r="O166" i="49"/>
  <c r="AA166" i="49" s="1"/>
  <c r="O165" i="49"/>
  <c r="AA165" i="49" s="1"/>
  <c r="O164" i="49"/>
  <c r="AA164" i="49" s="1"/>
  <c r="U163" i="49"/>
  <c r="T163" i="49"/>
  <c r="S163" i="49"/>
  <c r="R163" i="49"/>
  <c r="Q163" i="49"/>
  <c r="P163" i="49"/>
  <c r="N163" i="49"/>
  <c r="M163" i="49"/>
  <c r="L163" i="49"/>
  <c r="O162" i="49"/>
  <c r="AA162" i="49" s="1"/>
  <c r="O161" i="49"/>
  <c r="AA161" i="49" s="1"/>
  <c r="O160" i="49"/>
  <c r="AA160" i="49" s="1"/>
  <c r="U159" i="49"/>
  <c r="T159" i="49"/>
  <c r="S159" i="49"/>
  <c r="R159" i="49"/>
  <c r="Q159" i="49"/>
  <c r="P159" i="49"/>
  <c r="N159" i="49"/>
  <c r="M159" i="49"/>
  <c r="L159" i="49"/>
  <c r="O158" i="49"/>
  <c r="AA158" i="49" s="1"/>
  <c r="O157" i="49"/>
  <c r="AA157" i="49" s="1"/>
  <c r="O156" i="49"/>
  <c r="AA156" i="49" s="1"/>
  <c r="U155" i="49"/>
  <c r="T155" i="49"/>
  <c r="S155" i="49"/>
  <c r="R155" i="49"/>
  <c r="Q155" i="49"/>
  <c r="P155" i="49"/>
  <c r="N155" i="49"/>
  <c r="M155" i="49"/>
  <c r="L155" i="49"/>
  <c r="O154" i="49"/>
  <c r="AA154" i="49" s="1"/>
  <c r="O153" i="49"/>
  <c r="AA153" i="49" s="1"/>
  <c r="O152" i="49"/>
  <c r="AA152" i="49" s="1"/>
  <c r="U151" i="49"/>
  <c r="T151" i="49"/>
  <c r="S151" i="49"/>
  <c r="R151" i="49"/>
  <c r="Q151" i="49"/>
  <c r="P151" i="49"/>
  <c r="N151" i="49"/>
  <c r="M151" i="49"/>
  <c r="L151" i="49"/>
  <c r="O150" i="49"/>
  <c r="AA150" i="49" s="1"/>
  <c r="O149" i="49"/>
  <c r="AA149" i="49" s="1"/>
  <c r="U148" i="49"/>
  <c r="T148" i="49"/>
  <c r="S148" i="49"/>
  <c r="R148" i="49"/>
  <c r="Q148" i="49"/>
  <c r="P148" i="49"/>
  <c r="N148" i="49"/>
  <c r="M148" i="49"/>
  <c r="L148" i="49"/>
  <c r="O146" i="49"/>
  <c r="AA146" i="49" s="1"/>
  <c r="O145" i="49"/>
  <c r="AA145" i="49" s="1"/>
  <c r="O144" i="49"/>
  <c r="AA144" i="49" s="1"/>
  <c r="U143" i="49"/>
  <c r="T143" i="49"/>
  <c r="S143" i="49"/>
  <c r="R143" i="49"/>
  <c r="Q143" i="49"/>
  <c r="P143" i="49"/>
  <c r="N143" i="49"/>
  <c r="M143" i="49"/>
  <c r="L143" i="49"/>
  <c r="O142" i="49"/>
  <c r="AA142" i="49" s="1"/>
  <c r="O141" i="49"/>
  <c r="AA141" i="49" s="1"/>
  <c r="O140" i="49"/>
  <c r="AA140" i="49" s="1"/>
  <c r="U139" i="49"/>
  <c r="T139" i="49"/>
  <c r="S139" i="49"/>
  <c r="R139" i="49"/>
  <c r="Q139" i="49"/>
  <c r="P139" i="49"/>
  <c r="N139" i="49"/>
  <c r="M139" i="49"/>
  <c r="L139" i="49"/>
  <c r="O138" i="49"/>
  <c r="AA138" i="49" s="1"/>
  <c r="O137" i="49"/>
  <c r="AA137" i="49" s="1"/>
  <c r="O136" i="49"/>
  <c r="U135" i="49"/>
  <c r="T135" i="49"/>
  <c r="S135" i="49"/>
  <c r="N135" i="49"/>
  <c r="M135" i="49"/>
  <c r="L135" i="49"/>
  <c r="O134" i="49"/>
  <c r="AA134" i="49" s="1"/>
  <c r="O133" i="49"/>
  <c r="AA133" i="49" s="1"/>
  <c r="O132" i="49"/>
  <c r="AA132" i="49" s="1"/>
  <c r="U131" i="49"/>
  <c r="T131" i="49"/>
  <c r="S131" i="49"/>
  <c r="R131" i="49"/>
  <c r="Q131" i="49"/>
  <c r="P131" i="49"/>
  <c r="N131" i="49"/>
  <c r="M131" i="49"/>
  <c r="L131" i="49"/>
  <c r="O130" i="49"/>
  <c r="AA130" i="49" s="1"/>
  <c r="O129" i="49"/>
  <c r="AA129" i="49" s="1"/>
  <c r="O128" i="49"/>
  <c r="AA128" i="49" s="1"/>
  <c r="U127" i="49"/>
  <c r="T127" i="49"/>
  <c r="S127" i="49"/>
  <c r="R127" i="49"/>
  <c r="Q127" i="49"/>
  <c r="P127" i="49"/>
  <c r="N127" i="49"/>
  <c r="M127" i="49"/>
  <c r="L127" i="49"/>
  <c r="O126" i="49"/>
  <c r="AA126" i="49" s="1"/>
  <c r="O125" i="49"/>
  <c r="AA125" i="49" s="1"/>
  <c r="O124" i="49"/>
  <c r="AA124" i="49" s="1"/>
  <c r="U123" i="49"/>
  <c r="T123" i="49"/>
  <c r="S123" i="49"/>
  <c r="R123" i="49"/>
  <c r="Q123" i="49"/>
  <c r="P123" i="49"/>
  <c r="N123" i="49"/>
  <c r="M123" i="49"/>
  <c r="L123" i="49"/>
  <c r="O122" i="49"/>
  <c r="AA122" i="49" s="1"/>
  <c r="O121" i="49"/>
  <c r="AA121" i="49" s="1"/>
  <c r="O120" i="49"/>
  <c r="U119" i="49"/>
  <c r="T119" i="49"/>
  <c r="S119" i="49"/>
  <c r="R119" i="49"/>
  <c r="Q119" i="49"/>
  <c r="P119" i="49"/>
  <c r="N119" i="49"/>
  <c r="M119" i="49"/>
  <c r="L119" i="49"/>
  <c r="O118" i="49"/>
  <c r="AA118" i="49" s="1"/>
  <c r="O117" i="49"/>
  <c r="AA117" i="49" s="1"/>
  <c r="O116" i="49"/>
  <c r="AA116" i="49" s="1"/>
  <c r="U115" i="49"/>
  <c r="T115" i="49"/>
  <c r="S115" i="49"/>
  <c r="R115" i="49"/>
  <c r="Q115" i="49"/>
  <c r="P115" i="49"/>
  <c r="N115" i="49"/>
  <c r="M115" i="49"/>
  <c r="L115" i="49"/>
  <c r="O114" i="49"/>
  <c r="AA114" i="49" s="1"/>
  <c r="O113" i="49"/>
  <c r="AA113" i="49" s="1"/>
  <c r="O112" i="49"/>
  <c r="AA112" i="49" s="1"/>
  <c r="U111" i="49"/>
  <c r="T111" i="49"/>
  <c r="S111" i="49"/>
  <c r="R111" i="49"/>
  <c r="Q111" i="49"/>
  <c r="P111" i="49"/>
  <c r="N111" i="49"/>
  <c r="M111" i="49"/>
  <c r="L111" i="49"/>
  <c r="O110" i="49"/>
  <c r="AA110" i="49" s="1"/>
  <c r="O109" i="49"/>
  <c r="AA109" i="49" s="1"/>
  <c r="O108" i="49"/>
  <c r="AA108" i="49" s="1"/>
  <c r="U107" i="49"/>
  <c r="T107" i="49"/>
  <c r="S107" i="49"/>
  <c r="R107" i="49"/>
  <c r="Q107" i="49"/>
  <c r="P107" i="49"/>
  <c r="N107" i="49"/>
  <c r="M107" i="49"/>
  <c r="L107" i="49"/>
  <c r="O106" i="49"/>
  <c r="AA106" i="49" s="1"/>
  <c r="O105" i="49"/>
  <c r="AA105" i="49" s="1"/>
  <c r="O104" i="49"/>
  <c r="AA104" i="49" s="1"/>
  <c r="U103" i="49"/>
  <c r="T103" i="49"/>
  <c r="S103" i="49"/>
  <c r="R103" i="49"/>
  <c r="Q103" i="49"/>
  <c r="P103" i="49"/>
  <c r="N103" i="49"/>
  <c r="M103" i="49"/>
  <c r="L103" i="49"/>
  <c r="O100" i="49"/>
  <c r="AA100" i="49" s="1"/>
  <c r="O99" i="49"/>
  <c r="AA99" i="49" s="1"/>
  <c r="O98" i="49"/>
  <c r="AA98" i="49" s="1"/>
  <c r="O97" i="49"/>
  <c r="U96" i="49"/>
  <c r="T96" i="49"/>
  <c r="S96" i="49"/>
  <c r="N96" i="49"/>
  <c r="M96" i="49"/>
  <c r="L96" i="49"/>
  <c r="L78" i="49" s="1"/>
  <c r="O95" i="49"/>
  <c r="AA95" i="49" s="1"/>
  <c r="O94" i="49"/>
  <c r="AA94" i="49" s="1"/>
  <c r="O93" i="49"/>
  <c r="AA93" i="49" s="1"/>
  <c r="U92" i="49"/>
  <c r="T92" i="49"/>
  <c r="S92" i="49"/>
  <c r="R92" i="49"/>
  <c r="Q92" i="49"/>
  <c r="P92" i="49"/>
  <c r="N92" i="49"/>
  <c r="M92" i="49"/>
  <c r="L92" i="49"/>
  <c r="O91" i="49"/>
  <c r="AA91" i="49" s="1"/>
  <c r="O90" i="49"/>
  <c r="AA90" i="49" s="1"/>
  <c r="O89" i="49"/>
  <c r="AA89" i="49" s="1"/>
  <c r="U88" i="49"/>
  <c r="T88" i="49"/>
  <c r="S88" i="49"/>
  <c r="R88" i="49"/>
  <c r="Q88" i="49"/>
  <c r="P88" i="49"/>
  <c r="N88" i="49"/>
  <c r="M88" i="49"/>
  <c r="L88" i="49"/>
  <c r="O87" i="49"/>
  <c r="AA87" i="49" s="1"/>
  <c r="O86" i="49"/>
  <c r="AA86" i="49" s="1"/>
  <c r="O85" i="49"/>
  <c r="AA85" i="49" s="1"/>
  <c r="U84" i="49"/>
  <c r="T84" i="49"/>
  <c r="S84" i="49"/>
  <c r="R84" i="49"/>
  <c r="Q84" i="49"/>
  <c r="P84" i="49"/>
  <c r="N84" i="49"/>
  <c r="M84" i="49"/>
  <c r="L84" i="49"/>
  <c r="O83" i="49"/>
  <c r="AA83" i="49" s="1"/>
  <c r="O82" i="49"/>
  <c r="AA82" i="49" s="1"/>
  <c r="O81" i="49"/>
  <c r="AA81" i="49" s="1"/>
  <c r="U80" i="49"/>
  <c r="T80" i="49"/>
  <c r="S80" i="49"/>
  <c r="R80" i="49"/>
  <c r="Q80" i="49"/>
  <c r="P80" i="49"/>
  <c r="N80" i="49"/>
  <c r="M80" i="49"/>
  <c r="L80" i="49"/>
  <c r="O77" i="49"/>
  <c r="AA77" i="49" s="1"/>
  <c r="O76" i="49"/>
  <c r="AA76" i="49" s="1"/>
  <c r="O75" i="49"/>
  <c r="U74" i="49"/>
  <c r="T74" i="49"/>
  <c r="S74" i="49"/>
  <c r="N74" i="49"/>
  <c r="M74" i="49"/>
  <c r="L74" i="49"/>
  <c r="O73" i="49"/>
  <c r="AA73" i="49" s="1"/>
  <c r="O72" i="49"/>
  <c r="AA72" i="49" s="1"/>
  <c r="O71" i="49"/>
  <c r="AA71" i="49" s="1"/>
  <c r="U70" i="49"/>
  <c r="T70" i="49"/>
  <c r="S70" i="49"/>
  <c r="R70" i="49"/>
  <c r="Q70" i="49"/>
  <c r="P70" i="49"/>
  <c r="N70" i="49"/>
  <c r="M70" i="49"/>
  <c r="L70" i="49"/>
  <c r="O69" i="49"/>
  <c r="AA69" i="49" s="1"/>
  <c r="O68" i="49"/>
  <c r="AA68" i="49" s="1"/>
  <c r="O67" i="49"/>
  <c r="U66" i="49"/>
  <c r="T66" i="49"/>
  <c r="S66" i="49"/>
  <c r="R66" i="49"/>
  <c r="Q66" i="49"/>
  <c r="N66" i="49"/>
  <c r="M66" i="49"/>
  <c r="L66" i="49"/>
  <c r="O65" i="49"/>
  <c r="AA65" i="49" s="1"/>
  <c r="O64" i="49"/>
  <c r="AA64" i="49" s="1"/>
  <c r="O63" i="49"/>
  <c r="U62" i="49"/>
  <c r="T62" i="49"/>
  <c r="S62" i="49"/>
  <c r="N62" i="49"/>
  <c r="M62" i="49"/>
  <c r="L62" i="49"/>
  <c r="O61" i="49"/>
  <c r="AA61" i="49" s="1"/>
  <c r="O60" i="49"/>
  <c r="AA60" i="49" s="1"/>
  <c r="O59" i="49"/>
  <c r="U58" i="49"/>
  <c r="T58" i="49"/>
  <c r="S58" i="49"/>
  <c r="N58" i="49"/>
  <c r="M58" i="49"/>
  <c r="L58" i="49"/>
  <c r="O57" i="49"/>
  <c r="AA57" i="49" s="1"/>
  <c r="O56" i="49"/>
  <c r="AA56" i="49" s="1"/>
  <c r="O55" i="49"/>
  <c r="U54" i="49"/>
  <c r="T54" i="49"/>
  <c r="S54" i="49"/>
  <c r="N54" i="49"/>
  <c r="M54" i="49"/>
  <c r="L54" i="49"/>
  <c r="O53" i="49"/>
  <c r="AA53" i="49" s="1"/>
  <c r="O52" i="49"/>
  <c r="AA52" i="49" s="1"/>
  <c r="U50" i="49"/>
  <c r="T50" i="49"/>
  <c r="S50" i="49"/>
  <c r="R50" i="49"/>
  <c r="Q50" i="49"/>
  <c r="P50" i="49"/>
  <c r="N50" i="49"/>
  <c r="M50" i="49"/>
  <c r="O49" i="49"/>
  <c r="AA49" i="49" s="1"/>
  <c r="O48" i="49"/>
  <c r="O47" i="49"/>
  <c r="AA47" i="49" s="1"/>
  <c r="U46" i="49"/>
  <c r="T46" i="49"/>
  <c r="S46" i="49"/>
  <c r="R46" i="49"/>
  <c r="Q46" i="49"/>
  <c r="P46" i="49"/>
  <c r="N46" i="49"/>
  <c r="M46" i="49"/>
  <c r="L46" i="49"/>
  <c r="O45" i="49"/>
  <c r="AA45" i="49" s="1"/>
  <c r="O44" i="49"/>
  <c r="AA44" i="49" s="1"/>
  <c r="O43" i="49"/>
  <c r="U42" i="49"/>
  <c r="T42" i="49"/>
  <c r="S42" i="49"/>
  <c r="P42" i="49"/>
  <c r="N42" i="49"/>
  <c r="M42" i="49"/>
  <c r="L42" i="49"/>
  <c r="O41" i="49"/>
  <c r="AA41" i="49" s="1"/>
  <c r="O40" i="49"/>
  <c r="AA40" i="49" s="1"/>
  <c r="O39" i="49"/>
  <c r="U38" i="49"/>
  <c r="S38" i="49"/>
  <c r="N38" i="49"/>
  <c r="M38" i="49"/>
  <c r="L38" i="49"/>
  <c r="O36" i="49"/>
  <c r="AA36" i="49" s="1"/>
  <c r="O35" i="49"/>
  <c r="AA35" i="49" s="1"/>
  <c r="O34" i="49"/>
  <c r="AA34" i="49" s="1"/>
  <c r="U33" i="49"/>
  <c r="T33" i="49"/>
  <c r="S33" i="49"/>
  <c r="R33" i="49"/>
  <c r="Q33" i="49"/>
  <c r="Q28" i="49" s="1"/>
  <c r="Q27" i="49" s="1"/>
  <c r="P33" i="49"/>
  <c r="N33" i="49"/>
  <c r="M33" i="49"/>
  <c r="L33" i="49"/>
  <c r="O32" i="49"/>
  <c r="AA32" i="49" s="1"/>
  <c r="O31" i="49"/>
  <c r="AA31" i="49" s="1"/>
  <c r="O30" i="49"/>
  <c r="U29" i="49"/>
  <c r="T29" i="49"/>
  <c r="R29" i="49"/>
  <c r="P29" i="49"/>
  <c r="N29" i="49"/>
  <c r="M29" i="49"/>
  <c r="L29" i="49"/>
  <c r="O24" i="49"/>
  <c r="AA24" i="49" s="1"/>
  <c r="O23" i="49"/>
  <c r="AA23" i="49" s="1"/>
  <c r="O22" i="49"/>
  <c r="AA22" i="49" s="1"/>
  <c r="U21" i="49"/>
  <c r="T21" i="49"/>
  <c r="S21" i="49"/>
  <c r="R21" i="49"/>
  <c r="Q21" i="49"/>
  <c r="P21" i="49"/>
  <c r="N21" i="49"/>
  <c r="M21" i="49"/>
  <c r="L21" i="49"/>
  <c r="O20" i="49"/>
  <c r="AA20" i="49" s="1"/>
  <c r="O19" i="49"/>
  <c r="AA19" i="49" s="1"/>
  <c r="O18" i="49"/>
  <c r="U17" i="49"/>
  <c r="T17" i="49"/>
  <c r="S17" i="49"/>
  <c r="R17" i="49"/>
  <c r="N17" i="49"/>
  <c r="M17" i="49"/>
  <c r="L17" i="49"/>
  <c r="O16" i="49"/>
  <c r="AA16" i="49" s="1"/>
  <c r="O15" i="49"/>
  <c r="AA15" i="49" s="1"/>
  <c r="O14" i="49"/>
  <c r="U13" i="49"/>
  <c r="T13" i="49"/>
  <c r="R13" i="49"/>
  <c r="N13" i="49"/>
  <c r="M13" i="49"/>
  <c r="L13" i="49"/>
  <c r="U17" i="37" l="1"/>
  <c r="T69" i="37"/>
  <c r="U9" i="37"/>
  <c r="AB25" i="37"/>
  <c r="T24" i="37"/>
  <c r="T4" i="37" s="1"/>
  <c r="AB26" i="37"/>
  <c r="AB29" i="37"/>
  <c r="AB33" i="37"/>
  <c r="Y63" i="37"/>
  <c r="N9" i="37"/>
  <c r="M24" i="37"/>
  <c r="U24" i="37"/>
  <c r="Y31" i="37"/>
  <c r="Z52" i="37"/>
  <c r="Z63" i="37"/>
  <c r="AA73" i="37"/>
  <c r="N37" i="37"/>
  <c r="Z42" i="37"/>
  <c r="AA51" i="37"/>
  <c r="AA52" i="37"/>
  <c r="Y21" i="37"/>
  <c r="O37" i="37"/>
  <c r="AA37" i="37" s="1"/>
  <c r="AA42" i="37"/>
  <c r="AB51" i="37"/>
  <c r="AB52" i="37"/>
  <c r="V24" i="37"/>
  <c r="X24" i="37"/>
  <c r="R37" i="37"/>
  <c r="T37" i="37"/>
  <c r="W24" i="37"/>
  <c r="W4" i="37" s="1"/>
  <c r="S37" i="37"/>
  <c r="U37" i="37"/>
  <c r="N102" i="49"/>
  <c r="J24" i="37"/>
  <c r="V60" i="37"/>
  <c r="AB12" i="37"/>
  <c r="AB15" i="37"/>
  <c r="X17" i="37"/>
  <c r="AB17" i="37" s="1"/>
  <c r="AB21" i="37"/>
  <c r="N24" i="37"/>
  <c r="Z31" i="37"/>
  <c r="Z38" i="37"/>
  <c r="AB73" i="37"/>
  <c r="X69" i="37"/>
  <c r="AB75" i="37"/>
  <c r="AB76" i="37"/>
  <c r="AB77" i="37"/>
  <c r="Y17" i="37"/>
  <c r="AA31" i="37"/>
  <c r="AA38" i="37"/>
  <c r="Q69" i="37"/>
  <c r="I74" i="37"/>
  <c r="Y74" i="37" s="1"/>
  <c r="M102" i="49"/>
  <c r="L278" i="49"/>
  <c r="Z17" i="37"/>
  <c r="AB31" i="37"/>
  <c r="AB38" i="37"/>
  <c r="R69" i="37"/>
  <c r="J74" i="37"/>
  <c r="Z74" i="37" s="1"/>
  <c r="AA95" i="37"/>
  <c r="L102" i="49"/>
  <c r="AA17" i="37"/>
  <c r="I24" i="37"/>
  <c r="Y24" i="37" s="1"/>
  <c r="Q24" i="37"/>
  <c r="Y26" i="37"/>
  <c r="Y33" i="37"/>
  <c r="M37" i="37"/>
  <c r="Y42" i="37"/>
  <c r="Y52" i="37"/>
  <c r="AB62" i="37"/>
  <c r="S69" i="37"/>
  <c r="K74" i="37"/>
  <c r="AA74" i="37" s="1"/>
  <c r="AB95" i="37"/>
  <c r="K11" i="37"/>
  <c r="K10" i="37" s="1"/>
  <c r="Z62" i="37"/>
  <c r="L24" i="37"/>
  <c r="Y96" i="37"/>
  <c r="R49" i="37"/>
  <c r="R60" i="37"/>
  <c r="M11" i="37"/>
  <c r="M10" i="37" s="1"/>
  <c r="M9" i="37" s="1"/>
  <c r="Y12" i="37"/>
  <c r="X49" i="37"/>
  <c r="O49" i="37"/>
  <c r="S49" i="37"/>
  <c r="W49" i="37"/>
  <c r="I81" i="37"/>
  <c r="Z50" i="49"/>
  <c r="P505" i="49"/>
  <c r="Z505" i="49" s="1"/>
  <c r="Z506" i="49"/>
  <c r="AA506" i="49" s="1"/>
  <c r="Z402" i="49"/>
  <c r="Z66" i="49"/>
  <c r="P511" i="49"/>
  <c r="Z511" i="49" s="1"/>
  <c r="Z512" i="49"/>
  <c r="V310" i="49"/>
  <c r="V352" i="49"/>
  <c r="V33" i="49"/>
  <c r="Z29" i="49"/>
  <c r="V207" i="49"/>
  <c r="V211" i="49"/>
  <c r="V215" i="49"/>
  <c r="V219" i="49"/>
  <c r="V223" i="49"/>
  <c r="V230" i="49"/>
  <c r="V234" i="49"/>
  <c r="V238" i="49"/>
  <c r="V21" i="49"/>
  <c r="V30" i="49"/>
  <c r="AA30" i="49"/>
  <c r="V107" i="49"/>
  <c r="V111" i="49"/>
  <c r="V115" i="49"/>
  <c r="V151" i="49"/>
  <c r="V155" i="49"/>
  <c r="V159" i="49"/>
  <c r="V163" i="49"/>
  <c r="V167" i="49"/>
  <c r="V171" i="49"/>
  <c r="V175" i="49"/>
  <c r="V179" i="49"/>
  <c r="V183" i="49"/>
  <c r="V233" i="49"/>
  <c r="AA233" i="49"/>
  <c r="O360" i="49"/>
  <c r="AA361" i="49"/>
  <c r="O46" i="49"/>
  <c r="AA48" i="49"/>
  <c r="V508" i="49"/>
  <c r="AA508" i="49"/>
  <c r="O119" i="49"/>
  <c r="AA120" i="49"/>
  <c r="O242" i="49"/>
  <c r="AA243" i="49"/>
  <c r="O308" i="49"/>
  <c r="V308" i="49" s="1"/>
  <c r="AA309" i="49"/>
  <c r="O402" i="49"/>
  <c r="AA403" i="49"/>
  <c r="V103" i="49"/>
  <c r="P55" i="49"/>
  <c r="Q55" i="49"/>
  <c r="Q54" i="49" s="1"/>
  <c r="V55" i="49"/>
  <c r="R55" i="49"/>
  <c r="R54" i="49" s="1"/>
  <c r="V59" i="49"/>
  <c r="P59" i="49"/>
  <c r="R59" i="49"/>
  <c r="R58" i="49" s="1"/>
  <c r="Q59" i="49"/>
  <c r="Q58" i="49" s="1"/>
  <c r="Q63" i="49"/>
  <c r="Q62" i="49" s="1"/>
  <c r="P63" i="49"/>
  <c r="R63" i="49"/>
  <c r="R62" i="49" s="1"/>
  <c r="V63" i="49"/>
  <c r="V136" i="49"/>
  <c r="R136" i="49"/>
  <c r="R135" i="49" s="1"/>
  <c r="R102" i="49" s="1"/>
  <c r="P136" i="49"/>
  <c r="Q136" i="49"/>
  <c r="Q135" i="49" s="1"/>
  <c r="Q102" i="49" s="1"/>
  <c r="M379" i="49"/>
  <c r="M378" i="49" s="1"/>
  <c r="V393" i="49"/>
  <c r="I51" i="37"/>
  <c r="Y51" i="37" s="1"/>
  <c r="T49" i="37"/>
  <c r="U12" i="49"/>
  <c r="V97" i="49"/>
  <c r="Q97" i="49"/>
  <c r="Q96" i="49" s="1"/>
  <c r="P97" i="49"/>
  <c r="R97" i="49"/>
  <c r="R96" i="49" s="1"/>
  <c r="R78" i="49" s="1"/>
  <c r="V14" i="49"/>
  <c r="Q14" i="49"/>
  <c r="Q13" i="49" s="1"/>
  <c r="P14" i="49"/>
  <c r="V46" i="49"/>
  <c r="V364" i="49"/>
  <c r="S4" i="37"/>
  <c r="U60" i="37"/>
  <c r="P72" i="37"/>
  <c r="P71" i="37" s="1"/>
  <c r="P69" i="37" s="1"/>
  <c r="K81" i="37"/>
  <c r="V67" i="49"/>
  <c r="P67" i="49"/>
  <c r="Z67" i="49" s="1"/>
  <c r="AA67" i="49" s="1"/>
  <c r="V75" i="49"/>
  <c r="Q75" i="49"/>
  <c r="Q74" i="49" s="1"/>
  <c r="R75" i="49"/>
  <c r="R74" i="49" s="1"/>
  <c r="P75" i="49"/>
  <c r="Z95" i="37"/>
  <c r="V18" i="49"/>
  <c r="P18" i="49"/>
  <c r="Q18" i="49"/>
  <c r="Q17" i="49" s="1"/>
  <c r="V39" i="49"/>
  <c r="Q39" i="49"/>
  <c r="Q38" i="49" s="1"/>
  <c r="P39" i="49"/>
  <c r="R39" i="49"/>
  <c r="R38" i="49" s="1"/>
  <c r="V43" i="49"/>
  <c r="R43" i="49"/>
  <c r="R42" i="49" s="1"/>
  <c r="Q43" i="49"/>
  <c r="O283" i="49"/>
  <c r="V356" i="49"/>
  <c r="U227" i="49"/>
  <c r="X4" i="37"/>
  <c r="L88" i="37"/>
  <c r="U511" i="49"/>
  <c r="V119" i="49"/>
  <c r="V123" i="49"/>
  <c r="V127" i="49"/>
  <c r="V131" i="49"/>
  <c r="V135" i="49"/>
  <c r="V139" i="49"/>
  <c r="V143" i="49"/>
  <c r="V148" i="49"/>
  <c r="U194" i="49"/>
  <c r="V194" i="49" s="1"/>
  <c r="V195" i="49"/>
  <c r="V242" i="49"/>
  <c r="V248" i="49"/>
  <c r="V252" i="49"/>
  <c r="V257" i="49"/>
  <c r="V261" i="49"/>
  <c r="V266" i="49"/>
  <c r="V270" i="49"/>
  <c r="V274" i="49"/>
  <c r="V279" i="49"/>
  <c r="V283" i="49"/>
  <c r="V288" i="49"/>
  <c r="V292" i="49"/>
  <c r="V296" i="49"/>
  <c r="V300" i="49"/>
  <c r="V304" i="49"/>
  <c r="V349" i="49"/>
  <c r="V360" i="49"/>
  <c r="R363" i="49"/>
  <c r="V386" i="49"/>
  <c r="V390" i="49"/>
  <c r="V405" i="49"/>
  <c r="U28" i="49"/>
  <c r="U370" i="49"/>
  <c r="V370" i="49" s="1"/>
  <c r="V371" i="49"/>
  <c r="V383" i="49"/>
  <c r="V438" i="49"/>
  <c r="O438" i="49"/>
  <c r="V470" i="49"/>
  <c r="U518" i="49"/>
  <c r="V518" i="49" s="1"/>
  <c r="V519" i="49"/>
  <c r="U200" i="49"/>
  <c r="V201" i="49"/>
  <c r="V70" i="49"/>
  <c r="V80" i="49"/>
  <c r="V84" i="49"/>
  <c r="V88" i="49"/>
  <c r="V92" i="49"/>
  <c r="Q188" i="49"/>
  <c r="U189" i="49"/>
  <c r="V189" i="49" s="1"/>
  <c r="V190" i="49"/>
  <c r="L379" i="49"/>
  <c r="L378" i="49" s="1"/>
  <c r="Q379" i="49"/>
  <c r="Q378" i="49" s="1"/>
  <c r="U379" i="49"/>
  <c r="U378" i="49" s="1"/>
  <c r="V380" i="49"/>
  <c r="V396" i="49"/>
  <c r="O33" i="49"/>
  <c r="T287" i="49"/>
  <c r="M346" i="49"/>
  <c r="M345" i="49" s="1"/>
  <c r="Q278" i="49"/>
  <c r="U278" i="49"/>
  <c r="S278" i="49"/>
  <c r="O70" i="49"/>
  <c r="O179" i="49"/>
  <c r="R346" i="49"/>
  <c r="R345" i="49" s="1"/>
  <c r="S363" i="49"/>
  <c r="O371" i="49"/>
  <c r="O370" i="49" s="1"/>
  <c r="O396" i="49"/>
  <c r="O58" i="49"/>
  <c r="L229" i="49"/>
  <c r="T229" i="49"/>
  <c r="T278" i="49"/>
  <c r="S27" i="49"/>
  <c r="O84" i="49"/>
  <c r="O111" i="49"/>
  <c r="O123" i="49"/>
  <c r="O135" i="49"/>
  <c r="O195" i="49"/>
  <c r="O194" i="49" s="1"/>
  <c r="N229" i="49"/>
  <c r="Q229" i="49"/>
  <c r="U229" i="49"/>
  <c r="O238" i="49"/>
  <c r="P28" i="49"/>
  <c r="O143" i="49"/>
  <c r="O211" i="49"/>
  <c r="P256" i="49"/>
  <c r="P247" i="49" s="1"/>
  <c r="T256" i="49"/>
  <c r="T247" i="49" s="1"/>
  <c r="Q287" i="49"/>
  <c r="U287" i="49"/>
  <c r="O296" i="49"/>
  <c r="O300" i="49"/>
  <c r="M28" i="49"/>
  <c r="M27" i="49" s="1"/>
  <c r="M26" i="49" s="1"/>
  <c r="O38" i="49"/>
  <c r="N37" i="49"/>
  <c r="O103" i="49"/>
  <c r="P278" i="49"/>
  <c r="N278" i="49"/>
  <c r="R278" i="49"/>
  <c r="U346" i="49"/>
  <c r="O171" i="49"/>
  <c r="S206" i="49"/>
  <c r="S205" i="49" s="1"/>
  <c r="P4" i="37"/>
  <c r="O127" i="49"/>
  <c r="M147" i="49"/>
  <c r="O163" i="49"/>
  <c r="T188" i="49"/>
  <c r="M229" i="49"/>
  <c r="M256" i="49"/>
  <c r="M247" i="49" s="1"/>
  <c r="N287" i="49"/>
  <c r="AB6" i="37"/>
  <c r="Z51" i="37"/>
  <c r="J50" i="37"/>
  <c r="Z50" i="37" s="1"/>
  <c r="Y62" i="37"/>
  <c r="I61" i="37"/>
  <c r="AA62" i="37"/>
  <c r="O61" i="37"/>
  <c r="O60" i="37" s="1"/>
  <c r="Z73" i="37"/>
  <c r="N72" i="37"/>
  <c r="N71" i="37" s="1"/>
  <c r="N69" i="37" s="1"/>
  <c r="L37" i="37"/>
  <c r="O96" i="49"/>
  <c r="O167" i="49"/>
  <c r="O349" i="49"/>
  <c r="N346" i="49"/>
  <c r="N345" i="49" s="1"/>
  <c r="N363" i="49"/>
  <c r="P379" i="49"/>
  <c r="P378" i="49" s="1"/>
  <c r="T379" i="49"/>
  <c r="T378" i="49" s="1"/>
  <c r="O386" i="49"/>
  <c r="L11" i="37"/>
  <c r="L10" i="37" s="1"/>
  <c r="L9" i="37" s="1"/>
  <c r="L4" i="37" s="1"/>
  <c r="O4" i="37"/>
  <c r="AA25" i="37"/>
  <c r="K24" i="37"/>
  <c r="AA24" i="37" s="1"/>
  <c r="P49" i="37"/>
  <c r="AB66" i="37"/>
  <c r="S60" i="37"/>
  <c r="Z94" i="37"/>
  <c r="J93" i="37"/>
  <c r="Z93" i="37" s="1"/>
  <c r="AB93" i="37"/>
  <c r="N60" i="37"/>
  <c r="Z65" i="37"/>
  <c r="N12" i="49"/>
  <c r="N11" i="49" s="1"/>
  <c r="N10" i="49" s="1"/>
  <c r="M188" i="49"/>
  <c r="P206" i="49"/>
  <c r="P205" i="49" s="1"/>
  <c r="N206" i="49"/>
  <c r="N205" i="49" s="1"/>
  <c r="R206" i="49"/>
  <c r="R205" i="49" s="1"/>
  <c r="O219" i="49"/>
  <c r="O252" i="49"/>
  <c r="S256" i="49"/>
  <c r="S247" i="49" s="1"/>
  <c r="L265" i="49"/>
  <c r="M278" i="49"/>
  <c r="L346" i="49"/>
  <c r="L345" i="49" s="1"/>
  <c r="Q346" i="49"/>
  <c r="Q345" i="49" s="1"/>
  <c r="O364" i="49"/>
  <c r="M4" i="37"/>
  <c r="Q4" i="37"/>
  <c r="U4" i="37"/>
  <c r="V4" i="37"/>
  <c r="K50" i="37"/>
  <c r="M49" i="37"/>
  <c r="Q49" i="37"/>
  <c r="U49" i="37"/>
  <c r="U48" i="37" s="1"/>
  <c r="Z66" i="37"/>
  <c r="M60" i="37"/>
  <c r="M47" i="37" s="1"/>
  <c r="M97" i="37" s="1"/>
  <c r="Q60" i="37"/>
  <c r="K67" i="37"/>
  <c r="AA67" i="37" s="1"/>
  <c r="Y93" i="37"/>
  <c r="AB94" i="37"/>
  <c r="S188" i="49"/>
  <c r="L206" i="49"/>
  <c r="L205" i="49" s="1"/>
  <c r="L187" i="49" s="1"/>
  <c r="Q206" i="49"/>
  <c r="Q205" i="49" s="1"/>
  <c r="U206" i="49"/>
  <c r="Q256" i="49"/>
  <c r="Q247" i="49" s="1"/>
  <c r="U256" i="49"/>
  <c r="O261" i="49"/>
  <c r="J37" i="37"/>
  <c r="L50" i="37"/>
  <c r="J61" i="37"/>
  <c r="J64" i="37"/>
  <c r="Z64" i="37" s="1"/>
  <c r="Y94" i="37"/>
  <c r="S37" i="49"/>
  <c r="M37" i="49"/>
  <c r="O88" i="49"/>
  <c r="N188" i="49"/>
  <c r="I50" i="37"/>
  <c r="M12" i="49"/>
  <c r="M11" i="49" s="1"/>
  <c r="M10" i="49" s="1"/>
  <c r="R12" i="49"/>
  <c r="R11" i="49" s="1"/>
  <c r="R10" i="49" s="1"/>
  <c r="O17" i="49"/>
  <c r="V17" i="49" s="1"/>
  <c r="O66" i="49"/>
  <c r="S102" i="49"/>
  <c r="O115" i="49"/>
  <c r="U102" i="49"/>
  <c r="P147" i="49"/>
  <c r="O155" i="49"/>
  <c r="AA10" i="37"/>
  <c r="K9" i="37"/>
  <c r="Z12" i="37"/>
  <c r="J11" i="37"/>
  <c r="N49" i="37"/>
  <c r="V49" i="37"/>
  <c r="V47" i="37" s="1"/>
  <c r="L256" i="49"/>
  <c r="L247" i="49" s="1"/>
  <c r="L50" i="49"/>
  <c r="L37" i="49" s="1"/>
  <c r="O50" i="49"/>
  <c r="N1024" i="49"/>
  <c r="O1024" i="49" s="1"/>
  <c r="V1024" i="49" s="1"/>
  <c r="O1025" i="49"/>
  <c r="V1025" i="49" s="1"/>
  <c r="AA65" i="37"/>
  <c r="K64" i="37"/>
  <c r="AA64" i="37" s="1"/>
  <c r="Y72" i="37"/>
  <c r="I71" i="37"/>
  <c r="Y71" i="37" s="1"/>
  <c r="Q363" i="49"/>
  <c r="I37" i="37"/>
  <c r="Y37" i="37" s="1"/>
  <c r="AA59" i="37"/>
  <c r="K58" i="37"/>
  <c r="L68" i="37"/>
  <c r="AB71" i="37"/>
  <c r="Z72" i="37"/>
  <c r="J71" i="37"/>
  <c r="Z71" i="37" s="1"/>
  <c r="M79" i="49"/>
  <c r="M78" i="49" s="1"/>
  <c r="O92" i="49"/>
  <c r="T147" i="49"/>
  <c r="O190" i="49"/>
  <c r="O189" i="49" s="1"/>
  <c r="M287" i="49"/>
  <c r="O512" i="49"/>
  <c r="O1031" i="49"/>
  <c r="L1030" i="49"/>
  <c r="O1030" i="49" s="1"/>
  <c r="N4" i="37"/>
  <c r="R4" i="37"/>
  <c r="AA11" i="37"/>
  <c r="W60" i="37"/>
  <c r="AA63" i="37"/>
  <c r="K61" i="37"/>
  <c r="L81" i="37"/>
  <c r="K88" i="37"/>
  <c r="AA93" i="37"/>
  <c r="AA94" i="37"/>
  <c r="Y29" i="37"/>
  <c r="R28" i="49"/>
  <c r="R27" i="49" s="1"/>
  <c r="R26" i="49" s="1"/>
  <c r="L28" i="49"/>
  <c r="L27" i="49" s="1"/>
  <c r="L26" i="49" s="1"/>
  <c r="T28" i="49"/>
  <c r="T27" i="49" s="1"/>
  <c r="T26" i="49" s="1"/>
  <c r="O74" i="49"/>
  <c r="S79" i="49"/>
  <c r="O148" i="49"/>
  <c r="O393" i="49"/>
  <c r="T12" i="49"/>
  <c r="T11" i="49" s="1"/>
  <c r="T10" i="49" s="1"/>
  <c r="N28" i="49"/>
  <c r="N27" i="49" s="1"/>
  <c r="N26" i="49" s="1"/>
  <c r="T79" i="49"/>
  <c r="T78" i="49" s="1"/>
  <c r="O80" i="49"/>
  <c r="N79" i="49"/>
  <c r="N78" i="49" s="1"/>
  <c r="Q147" i="49"/>
  <c r="U147" i="49"/>
  <c r="L147" i="49"/>
  <c r="S147" i="49"/>
  <c r="O175" i="49"/>
  <c r="R188" i="49"/>
  <c r="R229" i="49"/>
  <c r="P265" i="49"/>
  <c r="T265" i="49"/>
  <c r="O270" i="49"/>
  <c r="O352" i="49"/>
  <c r="Y57" i="37"/>
  <c r="T60" i="37"/>
  <c r="X60" i="37"/>
  <c r="X48" i="37" s="1"/>
  <c r="L65" i="37"/>
  <c r="AA66" i="37"/>
  <c r="J81" i="37"/>
  <c r="Y95" i="37"/>
  <c r="I88" i="37"/>
  <c r="M206" i="49"/>
  <c r="M205" i="49" s="1"/>
  <c r="O223" i="49"/>
  <c r="O248" i="49"/>
  <c r="O274" i="49"/>
  <c r="O288" i="49"/>
  <c r="P287" i="49"/>
  <c r="O356" i="49"/>
  <c r="M363" i="49"/>
  <c r="N379" i="49"/>
  <c r="N378" i="49" s="1"/>
  <c r="R379" i="49"/>
  <c r="R378" i="49" s="1"/>
  <c r="O390" i="49"/>
  <c r="O405" i="49"/>
  <c r="O470" i="49"/>
  <c r="O519" i="49"/>
  <c r="O518" i="49" s="1"/>
  <c r="AB24" i="37"/>
  <c r="Y58" i="37"/>
  <c r="V48" i="37"/>
  <c r="Y65" i="37"/>
  <c r="Y66" i="37"/>
  <c r="T206" i="49"/>
  <c r="T205" i="49" s="1"/>
  <c r="O215" i="49"/>
  <c r="O230" i="49"/>
  <c r="P229" i="49"/>
  <c r="O234" i="49"/>
  <c r="N256" i="49"/>
  <c r="N247" i="49" s="1"/>
  <c r="R256" i="49"/>
  <c r="R247" i="49" s="1"/>
  <c r="Q265" i="49"/>
  <c r="U265" i="49"/>
  <c r="O266" i="49"/>
  <c r="S265" i="49"/>
  <c r="O304" i="49"/>
  <c r="S346" i="49"/>
  <c r="S345" i="49" s="1"/>
  <c r="L363" i="49"/>
  <c r="P363" i="49"/>
  <c r="T363" i="49"/>
  <c r="O380" i="49"/>
  <c r="O383" i="49"/>
  <c r="S379" i="49"/>
  <c r="S378" i="49" s="1"/>
  <c r="AB72" i="37"/>
  <c r="Y25" i="37"/>
  <c r="Z58" i="37"/>
  <c r="J57" i="37"/>
  <c r="I11" i="37"/>
  <c r="Y11" i="37" s="1"/>
  <c r="L60" i="37"/>
  <c r="Y69" i="37"/>
  <c r="AB58" i="37"/>
  <c r="L57" i="37"/>
  <c r="Z69" i="37"/>
  <c r="Z59" i="37"/>
  <c r="AB63" i="37"/>
  <c r="Y73" i="37"/>
  <c r="O72" i="37"/>
  <c r="O71" i="37" s="1"/>
  <c r="O69" i="37" s="1"/>
  <c r="AB59" i="37"/>
  <c r="P61" i="37"/>
  <c r="P60" i="37" s="1"/>
  <c r="V1031" i="49"/>
  <c r="U1030" i="49"/>
  <c r="L12" i="49"/>
  <c r="R147" i="49"/>
  <c r="R265" i="49"/>
  <c r="O1037" i="49"/>
  <c r="O21" i="49"/>
  <c r="O42" i="49"/>
  <c r="O62" i="49"/>
  <c r="U79" i="49"/>
  <c r="T102" i="49"/>
  <c r="O107" i="49"/>
  <c r="O139" i="49"/>
  <c r="N147" i="49"/>
  <c r="N101" i="49" s="1"/>
  <c r="O159" i="49"/>
  <c r="O279" i="49"/>
  <c r="M265" i="49"/>
  <c r="O13" i="49"/>
  <c r="V13" i="49" s="1"/>
  <c r="O29" i="49"/>
  <c r="O54" i="49"/>
  <c r="O131" i="49"/>
  <c r="O151" i="49"/>
  <c r="O183" i="49"/>
  <c r="P188" i="49"/>
  <c r="O207" i="49"/>
  <c r="S229" i="49"/>
  <c r="O257" i="49"/>
  <c r="N265" i="49"/>
  <c r="S287" i="49"/>
  <c r="O201" i="49"/>
  <c r="O200" i="49" s="1"/>
  <c r="O199" i="49" s="1"/>
  <c r="R287" i="49"/>
  <c r="P346" i="49"/>
  <c r="P345" i="49" s="1"/>
  <c r="T346" i="49"/>
  <c r="T345" i="49" s="1"/>
  <c r="O1038" i="49"/>
  <c r="V1038" i="49" s="1"/>
  <c r="U1037" i="49"/>
  <c r="AB4" i="37" l="1"/>
  <c r="AA69" i="37"/>
  <c r="S187" i="49"/>
  <c r="AB37" i="37"/>
  <c r="M101" i="49"/>
  <c r="AB69" i="37"/>
  <c r="Z37" i="37"/>
  <c r="M48" i="37"/>
  <c r="T48" i="37"/>
  <c r="W48" i="37"/>
  <c r="Q48" i="37"/>
  <c r="N47" i="37"/>
  <c r="N97" i="37" s="1"/>
  <c r="R47" i="37"/>
  <c r="R97" i="37" s="1"/>
  <c r="Z24" i="37"/>
  <c r="R48" i="37"/>
  <c r="I80" i="37"/>
  <c r="K80" i="37"/>
  <c r="S47" i="37"/>
  <c r="S97" i="37" s="1"/>
  <c r="L80" i="37"/>
  <c r="Q47" i="37"/>
  <c r="Q97" i="37" s="1"/>
  <c r="N48" i="37"/>
  <c r="X47" i="37"/>
  <c r="X97" i="37" s="1"/>
  <c r="I67" i="37"/>
  <c r="Y67" i="37" s="1"/>
  <c r="O47" i="37"/>
  <c r="O97" i="37" s="1"/>
  <c r="AA29" i="49"/>
  <c r="O102" i="49"/>
  <c r="V265" i="49"/>
  <c r="V278" i="49"/>
  <c r="T187" i="49"/>
  <c r="O278" i="49"/>
  <c r="P135" i="49"/>
  <c r="P102" i="49" s="1"/>
  <c r="P101" i="49" s="1"/>
  <c r="Z136" i="49"/>
  <c r="AA136" i="49" s="1"/>
  <c r="S78" i="49"/>
  <c r="Z79" i="49"/>
  <c r="AA79" i="49" s="1"/>
  <c r="P74" i="49"/>
  <c r="Z74" i="49" s="1"/>
  <c r="AA74" i="49" s="1"/>
  <c r="Z75" i="49"/>
  <c r="AA75" i="49" s="1"/>
  <c r="AA402" i="49"/>
  <c r="V42" i="49"/>
  <c r="P62" i="49"/>
  <c r="Z62" i="49" s="1"/>
  <c r="AA62" i="49" s="1"/>
  <c r="Z63" i="49"/>
  <c r="AA63" i="49" s="1"/>
  <c r="P58" i="49"/>
  <c r="Z58" i="49" s="1"/>
  <c r="Z59" i="49"/>
  <c r="AA59" i="49" s="1"/>
  <c r="P187" i="49"/>
  <c r="Q12" i="49"/>
  <c r="Q11" i="49" s="1"/>
  <c r="Z14" i="49"/>
  <c r="AA14" i="49" s="1"/>
  <c r="P96" i="49"/>
  <c r="Z97" i="49"/>
  <c r="AA97" i="49" s="1"/>
  <c r="P54" i="49"/>
  <c r="Z54" i="49" s="1"/>
  <c r="AA54" i="49" s="1"/>
  <c r="Z55" i="49"/>
  <c r="AA55" i="49" s="1"/>
  <c r="O78" i="49"/>
  <c r="N187" i="49"/>
  <c r="P27" i="49"/>
  <c r="Z28" i="49"/>
  <c r="Q42" i="49"/>
  <c r="Z42" i="49" s="1"/>
  <c r="AA42" i="49" s="1"/>
  <c r="Z43" i="49"/>
  <c r="AA43" i="49" s="1"/>
  <c r="P38" i="49"/>
  <c r="Z39" i="49"/>
  <c r="AA39" i="49" s="1"/>
  <c r="P17" i="49"/>
  <c r="Z17" i="49" s="1"/>
  <c r="AA17" i="49" s="1"/>
  <c r="Z18" i="49"/>
  <c r="AA18" i="49" s="1"/>
  <c r="V96" i="49"/>
  <c r="V74" i="49"/>
  <c r="L246" i="49"/>
  <c r="L228" i="49" s="1"/>
  <c r="P13" i="49"/>
  <c r="Z13" i="49" s="1"/>
  <c r="AA13" i="49" s="1"/>
  <c r="V66" i="49"/>
  <c r="AA66" i="49"/>
  <c r="V38" i="49"/>
  <c r="V229" i="49"/>
  <c r="V58" i="49"/>
  <c r="AA58" i="49"/>
  <c r="V402" i="49"/>
  <c r="W14" i="49"/>
  <c r="AA308" i="49"/>
  <c r="V54" i="49"/>
  <c r="V62" i="49"/>
  <c r="O511" i="49"/>
  <c r="AA511" i="49" s="1"/>
  <c r="AA512" i="49"/>
  <c r="V50" i="49"/>
  <c r="AA50" i="49"/>
  <c r="O28" i="49"/>
  <c r="V28" i="49" s="1"/>
  <c r="AB11" i="37"/>
  <c r="U188" i="49"/>
  <c r="V188" i="49" s="1"/>
  <c r="V97" i="37"/>
  <c r="U11" i="49"/>
  <c r="J67" i="37"/>
  <c r="Z67" i="37" s="1"/>
  <c r="T47" i="37"/>
  <c r="T97" i="37" s="1"/>
  <c r="L25" i="49"/>
  <c r="W47" i="37"/>
  <c r="W97" i="37" s="1"/>
  <c r="U47" i="37"/>
  <c r="U97" i="37" s="1"/>
  <c r="R37" i="49"/>
  <c r="R25" i="49" s="1"/>
  <c r="R9" i="49" s="1"/>
  <c r="V1037" i="49"/>
  <c r="O48" i="37"/>
  <c r="S48" i="37"/>
  <c r="O505" i="49"/>
  <c r="V506" i="49"/>
  <c r="P246" i="49"/>
  <c r="P228" i="49" s="1"/>
  <c r="P227" i="49" s="1"/>
  <c r="V29" i="49"/>
  <c r="V102" i="49"/>
  <c r="U345" i="49"/>
  <c r="V345" i="49" s="1"/>
  <c r="V346" i="49"/>
  <c r="V287" i="49"/>
  <c r="V378" i="49"/>
  <c r="L101" i="49"/>
  <c r="V147" i="49"/>
  <c r="U363" i="49"/>
  <c r="V363" i="49" s="1"/>
  <c r="O188" i="49"/>
  <c r="U205" i="49"/>
  <c r="V205" i="49" s="1"/>
  <c r="V206" i="49"/>
  <c r="U199" i="49"/>
  <c r="V199" i="49" s="1"/>
  <c r="V200" i="49"/>
  <c r="U27" i="49"/>
  <c r="U247" i="49"/>
  <c r="V247" i="49" s="1"/>
  <c r="V256" i="49"/>
  <c r="U78" i="49"/>
  <c r="S246" i="49"/>
  <c r="S228" i="49" s="1"/>
  <c r="Q187" i="49"/>
  <c r="V379" i="49"/>
  <c r="T101" i="49"/>
  <c r="O229" i="49"/>
  <c r="O363" i="49"/>
  <c r="M187" i="49"/>
  <c r="O256" i="49"/>
  <c r="O247" i="49" s="1"/>
  <c r="O346" i="49"/>
  <c r="O345" i="49" s="1"/>
  <c r="T246" i="49"/>
  <c r="T228" i="49" s="1"/>
  <c r="T227" i="49" s="1"/>
  <c r="O206" i="49"/>
  <c r="O205" i="49" s="1"/>
  <c r="Q246" i="49"/>
  <c r="Q228" i="49" s="1"/>
  <c r="R187" i="49"/>
  <c r="U101" i="49"/>
  <c r="AB50" i="37"/>
  <c r="L49" i="37"/>
  <c r="AB49" i="37" s="1"/>
  <c r="AA50" i="37"/>
  <c r="K49" i="37"/>
  <c r="AA49" i="37" s="1"/>
  <c r="R101" i="49"/>
  <c r="AB10" i="37"/>
  <c r="J88" i="37"/>
  <c r="J80" i="37" s="1"/>
  <c r="O265" i="49"/>
  <c r="R246" i="49"/>
  <c r="R228" i="49" s="1"/>
  <c r="R227" i="49" s="1"/>
  <c r="AB9" i="37"/>
  <c r="J49" i="37"/>
  <c r="Z49" i="37" s="1"/>
  <c r="Y61" i="37"/>
  <c r="I60" i="37"/>
  <c r="O147" i="49"/>
  <c r="M246" i="49"/>
  <c r="M228" i="49" s="1"/>
  <c r="M227" i="49" s="1"/>
  <c r="O379" i="49"/>
  <c r="O378" i="49" s="1"/>
  <c r="Z61" i="37"/>
  <c r="J60" i="37"/>
  <c r="Z60" i="37" s="1"/>
  <c r="AA61" i="37"/>
  <c r="K60" i="37"/>
  <c r="AA60" i="37" s="1"/>
  <c r="O37" i="49"/>
  <c r="AB68" i="37"/>
  <c r="L67" i="37"/>
  <c r="AB67" i="37" s="1"/>
  <c r="AA9" i="37"/>
  <c r="K4" i="37"/>
  <c r="AA4" i="37" s="1"/>
  <c r="S101" i="49"/>
  <c r="Y50" i="37"/>
  <c r="I49" i="37"/>
  <c r="AB65" i="37"/>
  <c r="L64" i="37"/>
  <c r="AB64" i="37" s="1"/>
  <c r="Q101" i="49"/>
  <c r="N246" i="49"/>
  <c r="N228" i="49" s="1"/>
  <c r="N227" i="49" s="1"/>
  <c r="AA58" i="37"/>
  <c r="K57" i="37"/>
  <c r="Z11" i="37"/>
  <c r="J10" i="37"/>
  <c r="P48" i="37"/>
  <c r="P47" i="37"/>
  <c r="P97" i="37" s="1"/>
  <c r="AB60" i="37"/>
  <c r="AA71" i="37"/>
  <c r="AB57" i="37"/>
  <c r="AB61" i="37"/>
  <c r="Z57" i="37"/>
  <c r="J56" i="37"/>
  <c r="I10" i="37"/>
  <c r="AA72" i="37"/>
  <c r="O12" i="49"/>
  <c r="V12" i="49" s="1"/>
  <c r="L11" i="49"/>
  <c r="V1030" i="49"/>
  <c r="AB48" i="37" l="1"/>
  <c r="T25" i="49"/>
  <c r="T9" i="49" s="1"/>
  <c r="O101" i="49"/>
  <c r="O187" i="49"/>
  <c r="Q37" i="49"/>
  <c r="Q25" i="49" s="1"/>
  <c r="N25" i="49"/>
  <c r="N9" i="49" s="1"/>
  <c r="N8" i="49" s="1"/>
  <c r="N7" i="49" s="1"/>
  <c r="P37" i="49"/>
  <c r="Z38" i="49"/>
  <c r="AA38" i="49" s="1"/>
  <c r="P26" i="49"/>
  <c r="Z26" i="49" s="1"/>
  <c r="Z27" i="49"/>
  <c r="P12" i="49"/>
  <c r="W12" i="49" s="1"/>
  <c r="P78" i="49"/>
  <c r="Z78" i="49" s="1"/>
  <c r="AA78" i="49" s="1"/>
  <c r="Z96" i="49"/>
  <c r="AA96" i="49" s="1"/>
  <c r="R8" i="49"/>
  <c r="R7" i="49" s="1"/>
  <c r="O27" i="49"/>
  <c r="V27" i="49" s="1"/>
  <c r="AA28" i="49"/>
  <c r="Q227" i="49"/>
  <c r="Z227" i="49" s="1"/>
  <c r="V505" i="49"/>
  <c r="AA505" i="49"/>
  <c r="M25" i="49"/>
  <c r="M9" i="49" s="1"/>
  <c r="M8" i="49" s="1"/>
  <c r="M7" i="49" s="1"/>
  <c r="Q10" i="49"/>
  <c r="U246" i="49"/>
  <c r="U228" i="49" s="1"/>
  <c r="U10" i="49"/>
  <c r="AA48" i="37"/>
  <c r="V78" i="49"/>
  <c r="U37" i="49"/>
  <c r="O246" i="49"/>
  <c r="O228" i="49" s="1"/>
  <c r="U187" i="49"/>
  <c r="V187" i="49" s="1"/>
  <c r="V101" i="49"/>
  <c r="U26" i="49"/>
  <c r="T8" i="49"/>
  <c r="T7" i="49" s="1"/>
  <c r="I56" i="37"/>
  <c r="Y56" i="37" s="1"/>
  <c r="Y60" i="37"/>
  <c r="Z48" i="37"/>
  <c r="L56" i="37"/>
  <c r="AB56" i="37" s="1"/>
  <c r="AA57" i="37"/>
  <c r="K56" i="37"/>
  <c r="Y49" i="37"/>
  <c r="Z10" i="37"/>
  <c r="J9" i="37"/>
  <c r="I9" i="37"/>
  <c r="Y10" i="37"/>
  <c r="Z56" i="37"/>
  <c r="J48" i="37"/>
  <c r="J47" i="37" s="1"/>
  <c r="L10" i="49"/>
  <c r="L9" i="49" s="1"/>
  <c r="O11" i="49"/>
  <c r="V11" i="49" s="1"/>
  <c r="Z37" i="49" l="1"/>
  <c r="AA37" i="49" s="1"/>
  <c r="V246" i="49"/>
  <c r="P25" i="49"/>
  <c r="Z25" i="49" s="1"/>
  <c r="P11" i="49"/>
  <c r="Z12" i="49"/>
  <c r="AA12" i="49" s="1"/>
  <c r="O26" i="49"/>
  <c r="AA26" i="49" s="1"/>
  <c r="AA27" i="49"/>
  <c r="Q9" i="49"/>
  <c r="I48" i="37"/>
  <c r="I47" i="37" s="1"/>
  <c r="Z47" i="37"/>
  <c r="T38" i="49"/>
  <c r="V37" i="49"/>
  <c r="U25" i="49"/>
  <c r="V228" i="49"/>
  <c r="L48" i="37"/>
  <c r="L47" i="37" s="1"/>
  <c r="Y48" i="37"/>
  <c r="AA56" i="37"/>
  <c r="K48" i="37"/>
  <c r="K47" i="37" s="1"/>
  <c r="Z9" i="37"/>
  <c r="J4" i="37"/>
  <c r="Z4" i="37" s="1"/>
  <c r="Y9" i="37"/>
  <c r="I4" i="37"/>
  <c r="Y4" i="37" s="1"/>
  <c r="O10" i="49"/>
  <c r="V10" i="49" s="1"/>
  <c r="V26" i="49" l="1"/>
  <c r="P10" i="49"/>
  <c r="Z11" i="49"/>
  <c r="AA11" i="49" s="1"/>
  <c r="O25" i="49"/>
  <c r="AA25" i="49" s="1"/>
  <c r="Q8" i="49"/>
  <c r="AB47" i="37"/>
  <c r="L97" i="37"/>
  <c r="AB97" i="37" s="1"/>
  <c r="AA47" i="37"/>
  <c r="K97" i="37"/>
  <c r="AA97" i="37" s="1"/>
  <c r="U9" i="49"/>
  <c r="J97" i="37"/>
  <c r="Z97" i="37" s="1"/>
  <c r="Y47" i="37"/>
  <c r="I97" i="37"/>
  <c r="Y97" i="37" s="1"/>
  <c r="U8" i="49"/>
  <c r="O9" i="49"/>
  <c r="P9" i="49" l="1"/>
  <c r="Z10" i="49"/>
  <c r="AA10" i="49" s="1"/>
  <c r="V25" i="49"/>
  <c r="Q7" i="49"/>
  <c r="V9" i="49"/>
  <c r="U7" i="49"/>
  <c r="P8" i="49" l="1"/>
  <c r="Z9" i="49"/>
  <c r="AA9" i="49" s="1"/>
  <c r="P7" i="49" l="1"/>
  <c r="Z7" i="49" s="1"/>
  <c r="Z8" i="49"/>
  <c r="H43" i="27"/>
  <c r="G24" i="6" l="1"/>
  <c r="E4" i="1"/>
  <c r="M26" i="12" l="1"/>
  <c r="F10" i="16"/>
  <c r="E46" i="27"/>
  <c r="E47" i="27" s="1"/>
  <c r="E35" i="20"/>
  <c r="F35" i="20"/>
  <c r="E24" i="27"/>
  <c r="E23" i="27"/>
  <c r="E4" i="29"/>
  <c r="A2" i="29"/>
  <c r="E4" i="28"/>
  <c r="A2" i="28"/>
  <c r="E4" i="27"/>
  <c r="A2" i="27"/>
  <c r="E4" i="26"/>
  <c r="A2" i="26"/>
  <c r="E4" i="25"/>
  <c r="A2" i="25"/>
  <c r="E4" i="24"/>
  <c r="A2" i="24"/>
  <c r="E4" i="23"/>
  <c r="A2" i="23"/>
  <c r="E42" i="22"/>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A2" i="1"/>
  <c r="C4" i="19"/>
  <c r="A2" i="19"/>
  <c r="D11" i="22"/>
  <c r="J11" i="19"/>
  <c r="N11" i="19" s="1"/>
  <c r="J10" i="19"/>
  <c r="N10" i="19" s="1"/>
  <c r="J9" i="19"/>
  <c r="N9" i="19" s="1"/>
  <c r="J8" i="19"/>
  <c r="N8" i="19" s="1"/>
  <c r="J7" i="19"/>
  <c r="N7" i="19" s="1"/>
  <c r="J6" i="19"/>
  <c r="J32" i="19"/>
  <c r="N32" i="19" s="1"/>
  <c r="J31" i="19"/>
  <c r="N31" i="19" s="1"/>
  <c r="J30" i="19"/>
  <c r="N30" i="19" s="1"/>
  <c r="J29" i="19"/>
  <c r="N29" i="19" s="1"/>
  <c r="J28" i="19"/>
  <c r="N28" i="19" s="1"/>
  <c r="J27" i="19"/>
  <c r="N27" i="19" s="1"/>
  <c r="J26" i="19"/>
  <c r="N26" i="19" s="1"/>
  <c r="J25" i="19"/>
  <c r="N25" i="19" s="1"/>
  <c r="J24" i="19"/>
  <c r="N24" i="19" s="1"/>
  <c r="J23" i="19"/>
  <c r="N23" i="19" s="1"/>
  <c r="J22" i="19"/>
  <c r="N22" i="19" s="1"/>
  <c r="J21" i="19"/>
  <c r="N21" i="19" s="1"/>
  <c r="J20" i="19"/>
  <c r="N20" i="19" s="1"/>
  <c r="J19" i="19"/>
  <c r="N19" i="19" s="1"/>
  <c r="J18" i="19"/>
  <c r="N18" i="19" s="1"/>
  <c r="J17" i="19"/>
  <c r="N17" i="19" s="1"/>
  <c r="J16" i="19"/>
  <c r="N16" i="19" s="1"/>
  <c r="J15" i="19"/>
  <c r="N15" i="19" s="1"/>
  <c r="J14" i="19"/>
  <c r="N14" i="19" s="1"/>
  <c r="J13" i="19"/>
  <c r="N13" i="19" s="1"/>
  <c r="J12" i="19"/>
  <c r="N12" i="19" s="1"/>
  <c r="H6" i="19"/>
  <c r="I32" i="19"/>
  <c r="M32" i="19" s="1"/>
  <c r="I31" i="19"/>
  <c r="M31" i="19" s="1"/>
  <c r="I30" i="19"/>
  <c r="M30" i="19" s="1"/>
  <c r="I29" i="19"/>
  <c r="M29" i="19" s="1"/>
  <c r="I28" i="19"/>
  <c r="M28" i="19" s="1"/>
  <c r="I27" i="19"/>
  <c r="M27" i="19" s="1"/>
  <c r="I26" i="19"/>
  <c r="M26" i="19" s="1"/>
  <c r="I25" i="19"/>
  <c r="M25" i="19" s="1"/>
  <c r="I24" i="19"/>
  <c r="M24" i="19" s="1"/>
  <c r="I23" i="19"/>
  <c r="M23" i="19" s="1"/>
  <c r="I22" i="19"/>
  <c r="M22" i="19" s="1"/>
  <c r="I21" i="19"/>
  <c r="M21" i="19" s="1"/>
  <c r="I20" i="19"/>
  <c r="M20" i="19" s="1"/>
  <c r="I19" i="19"/>
  <c r="M19" i="19" s="1"/>
  <c r="I18" i="19"/>
  <c r="M18" i="19" s="1"/>
  <c r="I17" i="19"/>
  <c r="M17" i="19" s="1"/>
  <c r="I16" i="19"/>
  <c r="M16" i="19" s="1"/>
  <c r="I15" i="19"/>
  <c r="M15" i="19" s="1"/>
  <c r="I14" i="19"/>
  <c r="M14" i="19" s="1"/>
  <c r="I13" i="19"/>
  <c r="M13" i="19" s="1"/>
  <c r="I12" i="19"/>
  <c r="M12" i="19" s="1"/>
  <c r="I11" i="19"/>
  <c r="M11" i="19" s="1"/>
  <c r="I10" i="19"/>
  <c r="M10" i="19" s="1"/>
  <c r="I9" i="19"/>
  <c r="M9" i="19" s="1"/>
  <c r="I8" i="19"/>
  <c r="M8" i="19" s="1"/>
  <c r="I7" i="19"/>
  <c r="M7" i="19" s="1"/>
  <c r="H29" i="19"/>
  <c r="L29" i="19" s="1"/>
  <c r="H15" i="19"/>
  <c r="H32" i="19"/>
  <c r="H31" i="19"/>
  <c r="H30" i="19"/>
  <c r="H28" i="19"/>
  <c r="H27" i="19"/>
  <c r="H26" i="19"/>
  <c r="H25" i="19"/>
  <c r="H24" i="19"/>
  <c r="H23" i="19"/>
  <c r="H22" i="19"/>
  <c r="H21" i="19"/>
  <c r="H20" i="19"/>
  <c r="L20" i="19" s="1"/>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D12" i="13"/>
  <c r="D11" i="13"/>
  <c r="D12" i="14"/>
  <c r="D11" i="14"/>
  <c r="F10" i="14"/>
  <c r="D12" i="15"/>
  <c r="D11" i="15"/>
  <c r="F10" i="15"/>
  <c r="D12" i="16"/>
  <c r="D11"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I6" i="19"/>
  <c r="M6" i="19" s="1"/>
  <c r="D12" i="1"/>
  <c r="D11" i="1"/>
  <c r="F10" i="1"/>
  <c r="G30" i="29"/>
  <c r="D29" i="33"/>
  <c r="E81" i="27" s="1"/>
  <c r="F57" i="23"/>
  <c r="D56" i="23"/>
  <c r="D55" i="23"/>
  <c r="D54" i="23"/>
  <c r="D53" i="23"/>
  <c r="D52" i="23"/>
  <c r="D26" i="33"/>
  <c r="F114" i="24" s="1"/>
  <c r="D109" i="24"/>
  <c r="D110" i="24"/>
  <c r="D111" i="24"/>
  <c r="D112" i="24"/>
  <c r="D113" i="24"/>
  <c r="D20" i="33"/>
  <c r="H30" i="17" s="1"/>
  <c r="H21" i="16"/>
  <c r="H22" i="16" s="1"/>
  <c r="G21" i="16"/>
  <c r="G22" i="16" s="1"/>
  <c r="E21" i="16"/>
  <c r="E22" i="16" s="1"/>
  <c r="Q21" i="14"/>
  <c r="Q20" i="14"/>
  <c r="Q19" i="14"/>
  <c r="L45" i="12"/>
  <c r="M27" i="12"/>
  <c r="N17" i="12"/>
  <c r="N18" i="12" s="1"/>
  <c r="N19" i="12" s="1"/>
  <c r="N20" i="12" s="1"/>
  <c r="N21" i="12" s="1"/>
  <c r="M22" i="12"/>
  <c r="M46" i="12"/>
  <c r="M33" i="12" s="1"/>
  <c r="K28" i="12"/>
  <c r="K43" i="12" s="1"/>
  <c r="K27" i="12"/>
  <c r="K42" i="12" s="1"/>
  <c r="K26" i="12"/>
  <c r="K41" i="12" s="1"/>
  <c r="K29" i="12"/>
  <c r="K44" i="12" s="1"/>
  <c r="M29" i="12"/>
  <c r="M28" i="12"/>
  <c r="E20" i="12"/>
  <c r="G15" i="33" s="1"/>
  <c r="H30" i="12" s="1"/>
  <c r="E69" i="10"/>
  <c r="H58" i="10"/>
  <c r="G58" i="10"/>
  <c r="F58" i="10"/>
  <c r="E58" i="10"/>
  <c r="E46" i="10"/>
  <c r="E35" i="10"/>
  <c r="J18" i="11"/>
  <c r="H69" i="10"/>
  <c r="G69" i="10"/>
  <c r="F69" i="10"/>
  <c r="H83" i="10"/>
  <c r="G83" i="10"/>
  <c r="G84" i="10"/>
  <c r="F83" i="10"/>
  <c r="F84" i="10"/>
  <c r="H84" i="10"/>
  <c r="H46" i="10"/>
  <c r="G46" i="10"/>
  <c r="F46" i="10"/>
  <c r="E84" i="10"/>
  <c r="E83" i="10"/>
  <c r="H35" i="10"/>
  <c r="G35" i="10"/>
  <c r="F35" i="10"/>
  <c r="F24" i="10"/>
  <c r="E24" i="10"/>
  <c r="F40" i="20"/>
  <c r="F39" i="20"/>
  <c r="F38" i="20"/>
  <c r="F37" i="20"/>
  <c r="F36" i="20"/>
  <c r="E39" i="20"/>
  <c r="E38" i="20"/>
  <c r="E37" i="20"/>
  <c r="E36" i="20"/>
  <c r="E40" i="20"/>
  <c r="E20" i="20"/>
  <c r="I18" i="20"/>
  <c r="G35" i="21"/>
  <c r="H35" i="21"/>
  <c r="I35" i="21"/>
  <c r="F36" i="22"/>
  <c r="G41" i="29"/>
  <c r="G40" i="29"/>
  <c r="G39" i="29"/>
  <c r="G38" i="29"/>
  <c r="G37" i="29"/>
  <c r="G36" i="29"/>
  <c r="G41" i="22"/>
  <c r="G40" i="22"/>
  <c r="G39" i="22"/>
  <c r="G38" i="22"/>
  <c r="G37" i="22"/>
  <c r="G36" i="22"/>
  <c r="F41" i="22"/>
  <c r="F40" i="22"/>
  <c r="F39" i="22"/>
  <c r="F38" i="22"/>
  <c r="F37" i="22"/>
  <c r="F37" i="29"/>
  <c r="F36" i="29"/>
  <c r="E21" i="25"/>
  <c r="F27" i="28"/>
  <c r="E27" i="28"/>
  <c r="E21" i="28"/>
  <c r="F21" i="28"/>
  <c r="G21" i="28"/>
  <c r="F41" i="29"/>
  <c r="F40" i="29"/>
  <c r="F39" i="29"/>
  <c r="E41" i="29"/>
  <c r="E40" i="29"/>
  <c r="E39" i="29"/>
  <c r="H20" i="20"/>
  <c r="G20" i="20"/>
  <c r="F20" i="20"/>
  <c r="D8" i="20" s="1"/>
  <c r="H22" i="18"/>
  <c r="G22" i="18"/>
  <c r="F22" i="18"/>
  <c r="D8" i="18" s="1"/>
  <c r="E22" i="18"/>
  <c r="I21" i="15"/>
  <c r="H21" i="15"/>
  <c r="F21" i="15"/>
  <c r="E21" i="15"/>
  <c r="P22" i="14"/>
  <c r="O22" i="14"/>
  <c r="N22" i="14"/>
  <c r="M22" i="14"/>
  <c r="L22" i="14"/>
  <c r="K22" i="14"/>
  <c r="J22" i="14"/>
  <c r="I22" i="14"/>
  <c r="H22" i="14"/>
  <c r="G22" i="14"/>
  <c r="F22" i="14"/>
  <c r="E22" i="14"/>
  <c r="E20" i="13"/>
  <c r="F20" i="13"/>
  <c r="I20" i="11"/>
  <c r="H20" i="11"/>
  <c r="G20" i="11"/>
  <c r="F20" i="11"/>
  <c r="D8" i="11"/>
  <c r="E20" i="11"/>
  <c r="H19" i="9"/>
  <c r="G19" i="9"/>
  <c r="E19" i="9"/>
  <c r="H19" i="8"/>
  <c r="G19" i="8"/>
  <c r="F19" i="8"/>
  <c r="D8" i="8" s="1"/>
  <c r="E19" i="8"/>
  <c r="H22" i="5"/>
  <c r="G22" i="5"/>
  <c r="F22" i="5"/>
  <c r="D8" i="5" s="1"/>
  <c r="E22" i="5"/>
  <c r="H23" i="4"/>
  <c r="G23" i="4"/>
  <c r="F23" i="4"/>
  <c r="D8" i="4" s="1"/>
  <c r="E23" i="4"/>
  <c r="H22" i="3"/>
  <c r="G22" i="3"/>
  <c r="F22" i="3"/>
  <c r="D8" i="3" s="1"/>
  <c r="E22" i="3"/>
  <c r="H32" i="13"/>
  <c r="I52" i="10"/>
  <c r="D24" i="33"/>
  <c r="D42" i="22" s="1"/>
  <c r="D23" i="33"/>
  <c r="H26" i="21" s="1"/>
  <c r="D22" i="33"/>
  <c r="D41" i="20" s="1"/>
  <c r="D5" i="33"/>
  <c r="D66" i="1" s="1"/>
  <c r="I17" i="29"/>
  <c r="D31" i="33"/>
  <c r="D42" i="29" s="1"/>
  <c r="E24" i="6"/>
  <c r="H26" i="6"/>
  <c r="G26" i="6"/>
  <c r="G25" i="6"/>
  <c r="F26" i="6"/>
  <c r="H25" i="6"/>
  <c r="F25" i="6"/>
  <c r="H24" i="6"/>
  <c r="F24" i="6"/>
  <c r="E25" i="6"/>
  <c r="E26" i="6"/>
  <c r="H65" i="27"/>
  <c r="G46" i="27"/>
  <c r="G47" i="27" s="1"/>
  <c r="F46" i="27"/>
  <c r="F47" i="27" s="1"/>
  <c r="E68" i="27"/>
  <c r="E69" i="27" s="1"/>
  <c r="H69" i="27" s="1"/>
  <c r="G68" i="27"/>
  <c r="G69" i="27" s="1"/>
  <c r="F68" i="27"/>
  <c r="F69" i="27" s="1"/>
  <c r="H67" i="27"/>
  <c r="H66" i="27"/>
  <c r="H45" i="27"/>
  <c r="H44" i="27"/>
  <c r="H17" i="26"/>
  <c r="G17" i="26"/>
  <c r="F17" i="26"/>
  <c r="D7" i="26" s="1"/>
  <c r="D29" i="19" s="1"/>
  <c r="E17" i="26"/>
  <c r="H21" i="25"/>
  <c r="G21" i="25"/>
  <c r="D8" i="25" s="1"/>
  <c r="F21" i="25"/>
  <c r="H106" i="24"/>
  <c r="E106" i="24"/>
  <c r="H93" i="24"/>
  <c r="G93" i="24"/>
  <c r="F93" i="24"/>
  <c r="E93" i="24"/>
  <c r="I92" i="24"/>
  <c r="I91" i="24"/>
  <c r="H86" i="24"/>
  <c r="G86" i="24"/>
  <c r="F86" i="24"/>
  <c r="E86" i="24"/>
  <c r="H75" i="24"/>
  <c r="G75" i="24"/>
  <c r="F75" i="24"/>
  <c r="E75" i="24"/>
  <c r="H68" i="24"/>
  <c r="G68" i="24"/>
  <c r="F68" i="24"/>
  <c r="E68" i="24"/>
  <c r="H54" i="24"/>
  <c r="G54" i="24"/>
  <c r="F54" i="24"/>
  <c r="E54" i="24"/>
  <c r="H47" i="24"/>
  <c r="G47" i="24"/>
  <c r="F47" i="24"/>
  <c r="E47" i="24"/>
  <c r="H33" i="24"/>
  <c r="G33" i="24"/>
  <c r="E33" i="24"/>
  <c r="F33" i="24"/>
  <c r="H24" i="24"/>
  <c r="G24" i="24"/>
  <c r="F24" i="24"/>
  <c r="E24" i="24"/>
  <c r="H49" i="23"/>
  <c r="G49" i="23"/>
  <c r="F49" i="23"/>
  <c r="E49" i="23"/>
  <c r="H42" i="23"/>
  <c r="G42" i="23"/>
  <c r="E55" i="23" s="1"/>
  <c r="F42" i="23"/>
  <c r="E42" i="23"/>
  <c r="H35" i="23"/>
  <c r="G35" i="23"/>
  <c r="E54" i="23" s="1"/>
  <c r="F35" i="23"/>
  <c r="E35" i="23"/>
  <c r="H28" i="23"/>
  <c r="G28" i="23"/>
  <c r="E53" i="23" s="1"/>
  <c r="F28" i="23"/>
  <c r="E28" i="23"/>
  <c r="H21" i="23"/>
  <c r="G21" i="23"/>
  <c r="E52" i="23" s="1"/>
  <c r="E21" i="23"/>
  <c r="J30" i="22"/>
  <c r="G29" i="20"/>
  <c r="I29" i="17"/>
  <c r="I28" i="17"/>
  <c r="I27" i="17"/>
  <c r="I26" i="17"/>
  <c r="I25" i="17"/>
  <c r="J20" i="15"/>
  <c r="J19" i="15"/>
  <c r="J18" i="15"/>
  <c r="G20" i="15"/>
  <c r="G19" i="15"/>
  <c r="G18" i="15"/>
  <c r="G19" i="13"/>
  <c r="G18" i="13"/>
  <c r="G17" i="13"/>
  <c r="I22" i="4"/>
  <c r="I21" i="4"/>
  <c r="I39" i="6"/>
  <c r="H39" i="6"/>
  <c r="G39" i="6"/>
  <c r="F39" i="6"/>
  <c r="J29" i="9"/>
  <c r="I29" i="9"/>
  <c r="H29" i="9"/>
  <c r="G29" i="9"/>
  <c r="G23" i="10"/>
  <c r="G22" i="10"/>
  <c r="G21" i="10"/>
  <c r="G20" i="10"/>
  <c r="G19" i="10"/>
  <c r="K32" i="13"/>
  <c r="J32" i="13"/>
  <c r="I32" i="13"/>
  <c r="K38" i="14"/>
  <c r="J38" i="14"/>
  <c r="I38" i="14"/>
  <c r="H38" i="14"/>
  <c r="K37" i="15"/>
  <c r="J37" i="15"/>
  <c r="H37" i="15"/>
  <c r="I37" i="15"/>
  <c r="F31" i="16"/>
  <c r="F21" i="16" s="1"/>
  <c r="F22" i="16" s="1"/>
  <c r="D8" i="16" s="1"/>
  <c r="D20" i="19" s="1"/>
  <c r="J31" i="16"/>
  <c r="I31" i="16"/>
  <c r="H31" i="16"/>
  <c r="G31" i="16"/>
  <c r="J29" i="20"/>
  <c r="I29" i="20"/>
  <c r="H29" i="20"/>
  <c r="K30" i="22"/>
  <c r="I30" i="22"/>
  <c r="I19" i="22"/>
  <c r="H30" i="22"/>
  <c r="I18" i="22" s="1"/>
  <c r="J30" i="29"/>
  <c r="I30" i="29"/>
  <c r="H30" i="29"/>
  <c r="I19" i="29"/>
  <c r="I18" i="29"/>
  <c r="I20" i="25"/>
  <c r="I19" i="25"/>
  <c r="I18" i="25"/>
  <c r="I105" i="24"/>
  <c r="I104" i="24"/>
  <c r="I85" i="24"/>
  <c r="I84" i="24"/>
  <c r="I74" i="24"/>
  <c r="I73" i="24"/>
  <c r="I67" i="24"/>
  <c r="I66" i="24"/>
  <c r="I53" i="24"/>
  <c r="I52" i="24"/>
  <c r="I46" i="24"/>
  <c r="I45" i="24"/>
  <c r="I23" i="24"/>
  <c r="I22" i="24"/>
  <c r="I48" i="23"/>
  <c r="I47" i="23"/>
  <c r="I41" i="23"/>
  <c r="I40" i="23"/>
  <c r="I34" i="23"/>
  <c r="I33" i="23"/>
  <c r="I27" i="23"/>
  <c r="I26" i="23"/>
  <c r="I20" i="23"/>
  <c r="I17" i="22"/>
  <c r="I18" i="21"/>
  <c r="I19" i="20"/>
  <c r="I21" i="18"/>
  <c r="I20" i="18"/>
  <c r="I18" i="17"/>
  <c r="J19" i="11"/>
  <c r="J20" i="11" s="1"/>
  <c r="I63" i="10"/>
  <c r="I40" i="10"/>
  <c r="I29" i="10"/>
  <c r="F15" i="33"/>
  <c r="G30" i="12" s="1"/>
  <c r="E15" i="33"/>
  <c r="F30" i="12" s="1"/>
  <c r="D15" i="33"/>
  <c r="E30" i="12" s="1"/>
  <c r="E23" i="33"/>
  <c r="I26" i="21" s="1"/>
  <c r="I15" i="33"/>
  <c r="I25" i="12" s="1"/>
  <c r="G55" i="23" l="1"/>
  <c r="M45" i="12"/>
  <c r="M32" i="12" s="1"/>
  <c r="I20" i="20"/>
  <c r="G42" i="29"/>
  <c r="H70" i="27"/>
  <c r="E74" i="27" s="1"/>
  <c r="G24" i="10"/>
  <c r="I24" i="24"/>
  <c r="I75" i="24"/>
  <c r="I93" i="24"/>
  <c r="E42" i="29"/>
  <c r="K35" i="21"/>
  <c r="E41" i="20"/>
  <c r="E85" i="10"/>
  <c r="L14" i="19" s="1"/>
  <c r="G85" i="10"/>
  <c r="F41" i="20"/>
  <c r="E20" i="33"/>
  <c r="I30" i="17" s="1"/>
  <c r="D8" i="17" s="1"/>
  <c r="F42" i="29"/>
  <c r="D8" i="29" s="1"/>
  <c r="D32" i="19" s="1"/>
  <c r="F24" i="33"/>
  <c r="G42" i="22" s="1"/>
  <c r="Q22" i="14"/>
  <c r="D8" i="14" s="1"/>
  <c r="D18" i="19" s="1"/>
  <c r="K18" i="15"/>
  <c r="M30" i="12"/>
  <c r="M31" i="12" s="1"/>
  <c r="I49" i="23"/>
  <c r="I84" i="10"/>
  <c r="I83" i="10"/>
  <c r="I28" i="23"/>
  <c r="I21" i="25"/>
  <c r="G20" i="13"/>
  <c r="D8" i="13" s="1"/>
  <c r="D17" i="19" s="1"/>
  <c r="E27" i="6"/>
  <c r="F27" i="6"/>
  <c r="D8" i="6" s="1"/>
  <c r="D11" i="19" s="1"/>
  <c r="G27" i="6"/>
  <c r="J35" i="21"/>
  <c r="F85" i="10"/>
  <c r="D9" i="10" s="1"/>
  <c r="D14" i="19" s="1"/>
  <c r="E24" i="33"/>
  <c r="H27" i="6"/>
  <c r="E30" i="28"/>
  <c r="D8" i="28" s="1"/>
  <c r="D31" i="19" s="1"/>
  <c r="G54" i="23"/>
  <c r="G53" i="23"/>
  <c r="G109" i="24"/>
  <c r="G113" i="24"/>
  <c r="I86" i="24"/>
  <c r="G112" i="24"/>
  <c r="G111" i="24"/>
  <c r="G110" i="24"/>
  <c r="K19" i="15"/>
  <c r="I22" i="18"/>
  <c r="L32" i="19"/>
  <c r="L31" i="19"/>
  <c r="E25" i="27"/>
  <c r="E79" i="27" s="1"/>
  <c r="H47" i="27"/>
  <c r="H48" i="27" s="1"/>
  <c r="E73" i="27" s="1"/>
  <c r="I106" i="24"/>
  <c r="I68" i="24"/>
  <c r="I47" i="24"/>
  <c r="I54" i="24"/>
  <c r="I42" i="23"/>
  <c r="I35" i="23"/>
  <c r="F42" i="22"/>
  <c r="D8" i="22" s="1"/>
  <c r="L24" i="19"/>
  <c r="D8" i="21"/>
  <c r="D24" i="19" s="1"/>
  <c r="L23" i="19"/>
  <c r="D23" i="19"/>
  <c r="L22" i="19"/>
  <c r="D22" i="19"/>
  <c r="L21" i="19"/>
  <c r="D21" i="19"/>
  <c r="K20" i="15"/>
  <c r="L18" i="19"/>
  <c r="L17" i="19"/>
  <c r="L16" i="19"/>
  <c r="D16" i="19"/>
  <c r="L15" i="19"/>
  <c r="D15" i="19"/>
  <c r="H85" i="10"/>
  <c r="L13" i="19"/>
  <c r="L12" i="19"/>
  <c r="D12" i="19"/>
  <c r="L11" i="19"/>
  <c r="L10" i="19"/>
  <c r="D10" i="19"/>
  <c r="I23" i="4"/>
  <c r="L9" i="19"/>
  <c r="D9" i="19"/>
  <c r="L8" i="19"/>
  <c r="D8" i="19"/>
  <c r="L7" i="19"/>
  <c r="D7" i="19"/>
  <c r="L28" i="19"/>
  <c r="L27" i="19"/>
  <c r="I63" i="1"/>
  <c r="G65" i="1"/>
  <c r="J65" i="1"/>
  <c r="J63" i="1"/>
  <c r="H64" i="1"/>
  <c r="G64" i="1"/>
  <c r="J64" i="1"/>
  <c r="H65" i="1"/>
  <c r="I65" i="1"/>
  <c r="J21" i="15"/>
  <c r="G21" i="15"/>
  <c r="E75" i="27" l="1"/>
  <c r="E80" i="27" s="1"/>
  <c r="I85" i="10"/>
  <c r="M34" i="12"/>
  <c r="F19" i="9"/>
  <c r="D8" i="9" s="1"/>
  <c r="D13" i="19" s="1"/>
  <c r="G114" i="24"/>
  <c r="D8" i="24" s="1"/>
  <c r="D28" i="19" s="1"/>
  <c r="K21" i="15"/>
  <c r="D8" i="15" s="1"/>
  <c r="D19" i="19" s="1"/>
  <c r="E29" i="33"/>
  <c r="F81" i="27" s="1"/>
  <c r="D8" i="27" s="1"/>
  <c r="D30" i="19" s="1"/>
  <c r="L30" i="19"/>
  <c r="L26" i="19"/>
  <c r="L25" i="19"/>
  <c r="D25" i="19"/>
  <c r="L19" i="19"/>
  <c r="G5" i="33"/>
  <c r="I66" i="1" s="1"/>
  <c r="H5" i="33"/>
  <c r="J66" i="1" s="1"/>
  <c r="E5" i="33"/>
  <c r="G66" i="1" s="1"/>
  <c r="F5" i="33"/>
  <c r="H66" i="1" s="1"/>
  <c r="D8" i="1" s="1"/>
  <c r="D27" i="19" l="1"/>
  <c r="L6" i="19"/>
  <c r="D6" i="19"/>
  <c r="I19" i="23" l="1"/>
  <c r="I21" i="23" s="1"/>
  <c r="F21" i="23"/>
  <c r="E57" i="23" l="1"/>
  <c r="G52" i="23"/>
  <c r="G57" i="23" s="1"/>
  <c r="D8" i="23" s="1"/>
  <c r="D26" i="19" s="1"/>
  <c r="O295" i="49" l="1"/>
  <c r="O292" i="49" s="1"/>
  <c r="O287" i="49" s="1"/>
  <c r="L292" i="49"/>
  <c r="L287" i="49" s="1"/>
  <c r="L227" i="49" s="1"/>
  <c r="AA295" i="49" l="1"/>
  <c r="L8" i="49"/>
  <c r="O227" i="49"/>
  <c r="L7" i="49" l="1"/>
  <c r="O8" i="49"/>
  <c r="V227" i="49"/>
  <c r="AA227" i="49"/>
  <c r="AA8" i="49" l="1"/>
  <c r="O7" i="49"/>
  <c r="V8" i="49"/>
  <c r="AA7" i="49" l="1"/>
  <c r="V7" i="49"/>
  <c r="BX70" i="51"/>
  <c r="BX69" i="51" l="1"/>
  <c r="T70" i="51"/>
  <c r="T69" i="51" s="1"/>
  <c r="T59" i="51" s="1"/>
  <c r="AI78" i="54"/>
  <c r="BX59" i="51" l="1"/>
  <c r="BY70" i="51"/>
  <c r="AJ78" i="54"/>
  <c r="U70" i="51"/>
  <c r="U69" i="51" s="1"/>
  <c r="U59" i="51" s="1"/>
  <c r="U3" i="51" s="1"/>
  <c r="AJ75" i="54"/>
  <c r="S3" i="51"/>
  <c r="CE70" i="51"/>
  <c r="AI75" i="54"/>
  <c r="T3" i="51"/>
  <c r="S157" i="51" l="1"/>
  <c r="S158" i="51" s="1"/>
  <c r="BY69" i="51"/>
  <c r="CE71" i="51"/>
  <c r="U157" i="51"/>
  <c r="U158" i="51" s="1"/>
  <c r="T157" i="51"/>
  <c r="T158" i="51" s="1"/>
  <c r="CF69" i="51"/>
  <c r="AI74" i="54"/>
  <c r="AG74" i="54"/>
  <c r="CE69" i="51"/>
  <c r="CE74" i="51" l="1"/>
  <c r="AG75" i="54"/>
  <c r="AQ75" i="54" s="1"/>
  <c r="AR75" i="54" s="1"/>
  <c r="BY59" i="51"/>
  <c r="AG78" i="54"/>
  <c r="AH74" i="54"/>
  <c r="AQ74" i="54"/>
  <c r="AR74" i="54" s="1"/>
  <c r="AL74" i="54"/>
  <c r="BW3" i="51"/>
  <c r="AK74" i="54"/>
  <c r="CE59" i="51"/>
  <c r="AG73" i="54"/>
  <c r="AI73" i="54"/>
  <c r="CF59" i="51"/>
  <c r="CF3" i="51" l="1"/>
  <c r="CF157" i="51" s="1"/>
  <c r="CF158" i="51" s="1"/>
  <c r="AK75" i="54"/>
  <c r="AL75" i="54"/>
  <c r="CE3" i="51"/>
  <c r="CE157" i="51" s="1"/>
  <c r="CE158" i="51" s="1"/>
  <c r="AH75" i="54"/>
  <c r="BW157" i="51"/>
  <c r="BW158" i="51" s="1"/>
  <c r="AH78" i="54"/>
  <c r="AQ78" i="54"/>
  <c r="AR78" i="54" s="1"/>
  <c r="AL78" i="54"/>
  <c r="AK78" i="54"/>
  <c r="AK73" i="54"/>
  <c r="AI63" i="54"/>
  <c r="AG63" i="54"/>
  <c r="BX3" i="51"/>
  <c r="CG69" i="51"/>
  <c r="AJ74" i="54"/>
  <c r="AH73" i="54"/>
  <c r="AQ73" i="54"/>
  <c r="AR73" i="54" s="1"/>
  <c r="AL73" i="54"/>
  <c r="BX157" i="51" l="1"/>
  <c r="BX158" i="51" s="1"/>
  <c r="BY3" i="51"/>
  <c r="AJ73" i="54"/>
  <c r="CG59" i="51"/>
  <c r="AH63" i="54"/>
  <c r="AG160" i="54"/>
  <c r="AL63" i="54"/>
  <c r="AQ63" i="54"/>
  <c r="AR63" i="54" s="1"/>
  <c r="AK63" i="54"/>
  <c r="AI160" i="54"/>
  <c r="BY157" i="51" l="1"/>
  <c r="BY158" i="51" s="1"/>
  <c r="AK160" i="54"/>
  <c r="AH160" i="54"/>
  <c r="AQ160" i="54"/>
  <c r="AR160" i="54" s="1"/>
  <c r="AL160" i="54"/>
  <c r="CG3" i="51"/>
  <c r="AJ63" i="54"/>
  <c r="AJ160" i="54" s="1"/>
  <c r="CG157" i="51" l="1"/>
  <c r="CG158" i="51" s="1"/>
</calcChain>
</file>

<file path=xl/comments1.xml><?xml version="1.0" encoding="utf-8"?>
<comments xmlns="http://schemas.openxmlformats.org/spreadsheetml/2006/main">
  <authors>
    <author>Usuario</author>
  </authors>
  <commentList>
    <comment ref="N6" authorId="0" shapeId="0">
      <text>
        <r>
          <rPr>
            <b/>
            <sz val="9"/>
            <color indexed="81"/>
            <rFont val="Tahoma"/>
            <family val="2"/>
          </rPr>
          <t>Usuario:</t>
        </r>
        <r>
          <rPr>
            <sz val="9"/>
            <color indexed="81"/>
            <rFont val="Tahoma"/>
            <family val="2"/>
          </rPr>
          <t xml:space="preserve">
En la medida de lo posible incluir una descripción que permita conocer en que consisitio el avance reportado. La información que contiene esta columna es más afin a la que debe ir en la 7-B.1. N°Contrato</t>
        </r>
      </text>
    </comment>
    <comment ref="O6" authorId="0" shapeId="0">
      <text>
        <r>
          <rPr>
            <b/>
            <sz val="9"/>
            <color indexed="81"/>
            <rFont val="Tahoma"/>
            <family val="2"/>
          </rPr>
          <t>Usuario:</t>
        </r>
        <r>
          <rPr>
            <sz val="9"/>
            <color indexed="81"/>
            <rFont val="Tahoma"/>
            <family val="2"/>
          </rPr>
          <t xml:space="preserve">
Fecha en la cual se hace el registro de la evidencia</t>
        </r>
      </text>
    </comment>
    <comment ref="P6" authorId="0" shapeId="0">
      <text>
        <r>
          <rPr>
            <b/>
            <sz val="9"/>
            <color indexed="81"/>
            <rFont val="Tahoma"/>
            <family val="2"/>
          </rPr>
          <t>Usuario:</t>
        </r>
        <r>
          <rPr>
            <sz val="9"/>
            <color indexed="81"/>
            <rFont val="Tahoma"/>
            <family val="2"/>
          </rPr>
          <t xml:space="preserve">
Seleccionar si es contrato o funcionamiento </t>
        </r>
      </text>
    </comment>
    <comment ref="Q6" authorId="0" shapeId="0">
      <text>
        <r>
          <rPr>
            <b/>
            <sz val="9"/>
            <color indexed="81"/>
            <rFont val="Tahoma"/>
            <family val="2"/>
          </rPr>
          <t>Usuario:</t>
        </r>
        <r>
          <rPr>
            <sz val="9"/>
            <color indexed="81"/>
            <rFont val="Tahoma"/>
            <family val="2"/>
          </rPr>
          <t xml:space="preserve">
Si en tipo de evidencia se selecciona funcionamiento, se debe  escribir como se realizó la actividad</t>
        </r>
      </text>
    </comment>
    <comment ref="R6" authorId="0" shapeId="0">
      <text>
        <r>
          <rPr>
            <b/>
            <sz val="9"/>
            <color indexed="81"/>
            <rFont val="Tahoma"/>
            <family val="2"/>
          </rPr>
          <t>Usuario:</t>
        </r>
        <r>
          <rPr>
            <sz val="9"/>
            <color indexed="81"/>
            <rFont val="Tahoma"/>
            <family val="2"/>
          </rPr>
          <t xml:space="preserve">
Solo si en tipo de evidencia  selecciona la opción contrato, debe indicar el estado en que se encuentra de acuerdo a la lista desplegable. </t>
        </r>
      </text>
    </comment>
    <comment ref="S6" authorId="0" shapeId="0">
      <text>
        <r>
          <rPr>
            <b/>
            <sz val="9"/>
            <color indexed="81"/>
            <rFont val="Tahoma"/>
            <family val="2"/>
          </rPr>
          <t>Usuario:</t>
        </r>
        <r>
          <rPr>
            <sz val="9"/>
            <color indexed="81"/>
            <rFont val="Tahoma"/>
            <family val="2"/>
          </rPr>
          <t xml:space="preserve">
Solo si en tipo de evidencia  selecciona la opción contrato, ingrese la información del número de contrato. Si son varios, separelos con una coma.</t>
        </r>
      </text>
    </comment>
    <comment ref="T6" authorId="0" shapeId="0">
      <text>
        <r>
          <rPr>
            <b/>
            <sz val="9"/>
            <color indexed="81"/>
            <rFont val="Tahoma"/>
            <family val="2"/>
          </rPr>
          <t>Usuario:</t>
        </r>
        <r>
          <rPr>
            <sz val="9"/>
            <color indexed="81"/>
            <rFont val="Tahoma"/>
            <family val="2"/>
          </rPr>
          <t xml:space="preserve">
• Es obligatorio asociar valor si se celebro un contrato, en caso contrario, es opcional el indicar o no, el valor que va a gastar en la actividad</t>
        </r>
      </text>
    </comment>
    <comment ref="U6" authorId="0" shapeId="0">
      <text>
        <r>
          <rPr>
            <b/>
            <sz val="9"/>
            <color indexed="81"/>
            <rFont val="Tahoma"/>
            <family val="2"/>
          </rPr>
          <t>Usuario:</t>
        </r>
        <r>
          <rPr>
            <sz val="9"/>
            <color indexed="81"/>
            <rFont val="Tahoma"/>
            <family val="2"/>
          </rPr>
          <t xml:space="preserve">
Indique el valor pagado por la actividad a la fecha del reporte.</t>
        </r>
      </text>
    </comment>
    <comment ref="V6" authorId="0" shapeId="0">
      <text>
        <r>
          <rPr>
            <b/>
            <sz val="9"/>
            <color indexed="81"/>
            <rFont val="Tahoma"/>
            <family val="2"/>
          </rPr>
          <t>Usuario:</t>
        </r>
        <r>
          <rPr>
            <sz val="9"/>
            <color indexed="81"/>
            <rFont val="Tahoma"/>
            <family val="2"/>
          </rPr>
          <t xml:space="preserve">
Indique la fecha en la cual se realizó el pago. </t>
        </r>
      </text>
    </comment>
    <comment ref="AA6" authorId="0" shapeId="0">
      <text>
        <r>
          <rPr>
            <b/>
            <sz val="9"/>
            <color indexed="81"/>
            <rFont val="Tahoma"/>
            <family val="2"/>
          </rPr>
          <t>Usuario:</t>
        </r>
        <r>
          <rPr>
            <sz val="9"/>
            <color indexed="81"/>
            <rFont val="Tahoma"/>
            <family val="2"/>
          </rPr>
          <t xml:space="preserve">
Ponderación definida para todo el periodo administrativo (2020-2023)</t>
        </r>
      </text>
    </comment>
    <comment ref="AB6" authorId="0" shapeId="0">
      <text>
        <r>
          <rPr>
            <b/>
            <sz val="9"/>
            <color indexed="81"/>
            <rFont val="Tahoma"/>
            <family val="2"/>
          </rPr>
          <t>Usuario:</t>
        </r>
        <r>
          <rPr>
            <sz val="9"/>
            <color indexed="81"/>
            <rFont val="Tahoma"/>
            <family val="2"/>
          </rPr>
          <t xml:space="preserve">
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r>
      </text>
    </comment>
  </commentList>
</comments>
</file>

<file path=xl/comments10.xml><?xml version="1.0" encoding="utf-8"?>
<comments xmlns="http://schemas.openxmlformats.org/spreadsheetml/2006/main">
  <authors>
    <author>Usuario</author>
  </authors>
  <commentList>
    <comment ref="G18" authorId="0" shapeId="0">
      <text>
        <r>
          <rPr>
            <b/>
            <sz val="9"/>
            <color rgb="FF000000"/>
            <rFont val="Tahoma"/>
            <family val="2"/>
          </rPr>
          <t>Usuario:</t>
        </r>
        <r>
          <rPr>
            <sz val="9"/>
            <color rgb="FF000000"/>
            <rFont val="Tahoma"/>
            <family val="2"/>
          </rPr>
          <t xml:space="preserve">
</t>
        </r>
        <r>
          <rPr>
            <sz val="9"/>
            <color rgb="FF000000"/>
            <rFont val="Tahoma"/>
            <family val="2"/>
          </rPr>
          <t>Confirmar info</t>
        </r>
      </text>
    </comment>
  </commentList>
</comments>
</file>

<file path=xl/comments11.xml><?xml version="1.0" encoding="utf-8"?>
<comments xmlns="http://schemas.openxmlformats.org/spreadsheetml/2006/main">
  <authors>
    <author>Usuario</author>
  </authors>
  <commentList>
    <comment ref="G18" authorId="0" shapeId="0">
      <text>
        <r>
          <rPr>
            <b/>
            <sz val="9"/>
            <color rgb="FF000000"/>
            <rFont val="Tahoma"/>
            <family val="2"/>
          </rPr>
          <t>Usuario:</t>
        </r>
        <r>
          <rPr>
            <sz val="9"/>
            <color rgb="FF000000"/>
            <rFont val="Tahoma"/>
            <family val="2"/>
          </rPr>
          <t xml:space="preserve">
</t>
        </r>
        <r>
          <rPr>
            <sz val="9"/>
            <color rgb="FF000000"/>
            <rFont val="Tahoma"/>
            <family val="2"/>
          </rPr>
          <t>Confirmar. Tomé el dato por las 3 acciones descritas abajo</t>
        </r>
      </text>
    </comment>
  </commentList>
</comments>
</file>

<file path=xl/comments12.xml><?xml version="1.0" encoding="utf-8"?>
<comments xmlns="http://schemas.openxmlformats.org/spreadsheetml/2006/main">
  <authors>
    <author>Usuario</author>
  </authors>
  <commentList>
    <comment ref="H24" authorId="0" shapeId="0">
      <text>
        <r>
          <rPr>
            <b/>
            <sz val="9"/>
            <color rgb="FF000000"/>
            <rFont val="Tahoma"/>
            <family val="2"/>
          </rPr>
          <t>Usuario:</t>
        </r>
        <r>
          <rPr>
            <sz val="9"/>
            <color rgb="FF000000"/>
            <rFont val="Tahoma"/>
            <family val="2"/>
          </rPr>
          <t xml:space="preserve">
</t>
        </r>
        <r>
          <rPr>
            <sz val="9"/>
            <color rgb="FF000000"/>
            <rFont val="Tahoma"/>
            <family val="2"/>
          </rPr>
          <t>Confirmar presupuesto inicial del proyecto</t>
        </r>
      </text>
    </comment>
  </commentList>
</comments>
</file>

<file path=xl/comments13.xml><?xml version="1.0" encoding="utf-8"?>
<comments xmlns="http://schemas.openxmlformats.org/spreadsheetml/2006/main">
  <authors>
    <author>Usuario</author>
  </authors>
  <commentList>
    <comment ref="G24" authorId="0" shapeId="0">
      <text>
        <r>
          <rPr>
            <b/>
            <sz val="9"/>
            <color rgb="FF000000"/>
            <rFont val="Tahoma"/>
            <family val="2"/>
          </rPr>
          <t>Usuario:</t>
        </r>
        <r>
          <rPr>
            <sz val="9"/>
            <color rgb="FF000000"/>
            <rFont val="Tahoma"/>
            <family val="2"/>
          </rPr>
          <t xml:space="preserve">
</t>
        </r>
        <r>
          <rPr>
            <sz val="9"/>
            <color rgb="FF000000"/>
            <rFont val="Tahoma"/>
            <family val="2"/>
          </rPr>
          <t>Confirmar presupuesto inicial de estos proyectos</t>
        </r>
      </text>
    </comment>
  </commentList>
</comments>
</file>

<file path=xl/comments2.xml><?xml version="1.0" encoding="utf-8"?>
<comments xmlns="http://schemas.openxmlformats.org/spreadsheetml/2006/main">
  <authors>
    <author>Usuario</author>
    <author>IVAN DARIO RAMIREZ B</author>
  </authors>
  <commentList>
    <comment ref="P7" authorId="0" shapeId="0">
      <text>
        <r>
          <rPr>
            <b/>
            <sz val="9"/>
            <color indexed="81"/>
            <rFont val="Tahoma"/>
            <family val="2"/>
          </rPr>
          <t>Usuario:</t>
        </r>
        <r>
          <rPr>
            <sz val="9"/>
            <color indexed="81"/>
            <rFont val="Tahoma"/>
            <family val="2"/>
          </rPr>
          <t xml:space="preserve">
No coincide con Anexo 5.2</t>
        </r>
      </text>
    </comment>
    <comment ref="Q7" authorId="0" shapeId="0">
      <text>
        <r>
          <rPr>
            <b/>
            <sz val="9"/>
            <color indexed="81"/>
            <rFont val="Tahoma"/>
            <family val="2"/>
          </rPr>
          <t>Usuario:</t>
        </r>
        <r>
          <rPr>
            <sz val="9"/>
            <color indexed="81"/>
            <rFont val="Tahoma"/>
            <family val="2"/>
          </rPr>
          <t xml:space="preserve">
No coincide con meta 2021 del Anexo 1 ni reporte Anexo 5.2</t>
        </r>
      </text>
    </comment>
    <comment ref="R7" authorId="0" shapeId="0">
      <text>
        <r>
          <rPr>
            <b/>
            <sz val="9"/>
            <color indexed="81"/>
            <rFont val="Tahoma"/>
            <family val="2"/>
          </rPr>
          <t>Usuario:</t>
        </r>
        <r>
          <rPr>
            <sz val="9"/>
            <color indexed="81"/>
            <rFont val="Tahoma"/>
            <family val="2"/>
          </rPr>
          <t xml:space="preserve">
No coincide con Anexo 5.2</t>
        </r>
      </text>
    </comment>
    <comment ref="O8" authorId="0" shapeId="0">
      <text>
        <r>
          <rPr>
            <b/>
            <sz val="9"/>
            <color indexed="81"/>
            <rFont val="Tahoma"/>
            <family val="2"/>
          </rPr>
          <t>Usuario:</t>
        </r>
        <r>
          <rPr>
            <sz val="9"/>
            <color indexed="81"/>
            <rFont val="Tahoma"/>
            <family val="2"/>
          </rPr>
          <t xml:space="preserve">
No coincide con Cuipo</t>
        </r>
      </text>
    </comment>
    <comment ref="O9" authorId="0" shapeId="0">
      <text>
        <r>
          <rPr>
            <b/>
            <sz val="9"/>
            <color indexed="81"/>
            <rFont val="Tahoma"/>
            <family val="2"/>
          </rPr>
          <t>Usuario:</t>
        </r>
        <r>
          <rPr>
            <sz val="9"/>
            <color indexed="81"/>
            <rFont val="Tahoma"/>
            <family val="2"/>
          </rPr>
          <t xml:space="preserve">
No coincide con Cuipo</t>
        </r>
      </text>
    </comment>
    <comment ref="Q13" authorId="0" shapeId="0">
      <text>
        <r>
          <rPr>
            <b/>
            <sz val="9"/>
            <color indexed="81"/>
            <rFont val="Tahoma"/>
            <family val="2"/>
          </rPr>
          <t>Usuario:</t>
        </r>
        <r>
          <rPr>
            <sz val="9"/>
            <color indexed="81"/>
            <rFont val="Tahoma"/>
            <family val="2"/>
          </rPr>
          <t xml:space="preserve">
Se ajusto formula</t>
        </r>
      </text>
    </comment>
    <comment ref="P25" authorId="0" shapeId="0">
      <text>
        <r>
          <rPr>
            <b/>
            <sz val="9"/>
            <color indexed="81"/>
            <rFont val="Tahoma"/>
            <family val="2"/>
          </rPr>
          <t>Usuario:</t>
        </r>
        <r>
          <rPr>
            <sz val="9"/>
            <color indexed="81"/>
            <rFont val="Tahoma"/>
            <family val="2"/>
          </rPr>
          <t xml:space="preserve">
Se habia modificado la formula. Se restauro.</t>
        </r>
      </text>
    </comment>
    <comment ref="K594" authorId="1" shapeId="0">
      <text>
        <r>
          <rPr>
            <b/>
            <sz val="9"/>
            <color indexed="81"/>
            <rFont val="Tahoma"/>
            <family val="2"/>
          </rPr>
          <t>IVAN DARIO RAMIREZ B:</t>
        </r>
        <r>
          <rPr>
            <sz val="9"/>
            <color indexed="81"/>
            <rFont val="Tahoma"/>
            <family val="2"/>
          </rPr>
          <t xml:space="preserve">
aprovecamiento de parques caso CAR</t>
        </r>
      </text>
    </comment>
    <comment ref="K606" authorId="1" shapeId="0">
      <text>
        <r>
          <rPr>
            <b/>
            <sz val="9"/>
            <color indexed="81"/>
            <rFont val="Tahoma"/>
            <family val="2"/>
          </rPr>
          <t>IVAN DARIO RAMIREZ B:</t>
        </r>
        <r>
          <rPr>
            <sz val="9"/>
            <color indexed="81"/>
            <rFont val="Tahoma"/>
            <family val="2"/>
          </rPr>
          <t>CAR CVC Arriendos</t>
        </r>
      </text>
    </comment>
    <comment ref="K897" authorId="1" shapeId="0">
      <text>
        <r>
          <rPr>
            <b/>
            <sz val="9"/>
            <color indexed="81"/>
            <rFont val="Tahoma"/>
            <family val="2"/>
          </rPr>
          <t>IVAN DARIO RAMIREZ B:</t>
        </r>
        <r>
          <rPr>
            <sz val="9"/>
            <color indexed="81"/>
            <rFont val="Tahoma"/>
            <family val="2"/>
          </rPr>
          <t xml:space="preserve">
A dónde se incluyen los convenios</t>
        </r>
      </text>
    </comment>
  </commentList>
</comments>
</file>

<file path=xl/comments3.xml><?xml version="1.0" encoding="utf-8"?>
<comments xmlns="http://schemas.openxmlformats.org/spreadsheetml/2006/main">
  <authors>
    <author>Usuario</author>
    <author>IVAN DARIO RAMIREZ B</author>
  </authors>
  <commentList>
    <comment ref="X5" authorId="0" shapeId="0">
      <text>
        <r>
          <rPr>
            <b/>
            <sz val="9"/>
            <color indexed="81"/>
            <rFont val="Tahoma"/>
            <family val="2"/>
          </rPr>
          <t>Usuario:</t>
        </r>
        <r>
          <rPr>
            <sz val="9"/>
            <color indexed="81"/>
            <rFont val="Tahoma"/>
            <family val="2"/>
          </rPr>
          <t xml:space="preserve">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r>
      </text>
    </comment>
    <comment ref="Y5" authorId="0" shapeId="0">
      <text>
        <r>
          <rPr>
            <b/>
            <sz val="9"/>
            <color indexed="81"/>
            <rFont val="Tahoma"/>
            <family val="2"/>
          </rPr>
          <t>Usuario:</t>
        </r>
        <r>
          <rPr>
            <sz val="9"/>
            <color indexed="81"/>
            <rFont val="Tahoma"/>
            <family val="2"/>
          </rPr>
          <t xml:space="preserve">
Se reporta recuado acumulado al 30 de junio 2022</t>
        </r>
      </text>
    </comment>
    <comment ref="Z5" authorId="0" shapeId="0">
      <text>
        <r>
          <rPr>
            <b/>
            <sz val="9"/>
            <color indexed="81"/>
            <rFont val="Tahoma"/>
            <family val="2"/>
          </rPr>
          <t>Usuario:</t>
        </r>
        <r>
          <rPr>
            <sz val="9"/>
            <color indexed="81"/>
            <rFont val="Tahoma"/>
            <family val="2"/>
          </rPr>
          <t xml:space="preserve">
Valor a ingresar en CARdinal</t>
        </r>
      </text>
    </comment>
    <comment ref="K12" authorId="0" shapeId="0">
      <text>
        <r>
          <rPr>
            <b/>
            <sz val="9"/>
            <color indexed="81"/>
            <rFont val="Tahoma"/>
            <family val="2"/>
          </rPr>
          <t>Usuario:</t>
        </r>
        <r>
          <rPr>
            <sz val="9"/>
            <color indexed="81"/>
            <rFont val="Tahoma"/>
            <family val="2"/>
          </rPr>
          <t xml:space="preserve">
Corresponde a la sobretasa que fijen los municipios y distritos, entre el 1.5 por mil y el 2.5 por mil sobre el avalúo de los bienes que sirven de base para liquidar el impuesto predial. Igualmente en competencia de los grandes centros urbanos, los municipios, distritos o áreas metropolitanas cuya población urbana fuere igual o superior a un millón de habitantes (1.000.000) ejercerán dentro del perímetro urbano las mismas funciones atribuidas a las Corporaciones Autónomas Regionales, en los que fuere aplicable al medio ambiente urbano.</t>
        </r>
      </text>
    </comment>
    <comment ref="K14" authorId="0" shapeId="0">
      <text>
        <r>
          <rPr>
            <b/>
            <sz val="9"/>
            <color indexed="81"/>
            <rFont val="Tahoma"/>
            <family val="2"/>
          </rPr>
          <t>Usuario:</t>
        </r>
        <r>
          <rPr>
            <sz val="9"/>
            <color indexed="81"/>
            <rFont val="Tahoma"/>
            <family val="2"/>
          </rPr>
          <t xml:space="preserve">
Sobretasa Ambiental Distrital</t>
        </r>
      </text>
    </comment>
    <comment ref="K18" authorId="0" shapeId="0">
      <text>
        <r>
          <rPr>
            <b/>
            <sz val="9"/>
            <color indexed="81"/>
            <rFont val="Tahoma"/>
            <family val="2"/>
          </rPr>
          <t>Usuario:</t>
        </r>
        <r>
          <rPr>
            <sz val="9"/>
            <color indexed="81"/>
            <rFont val="Tahoma"/>
            <family val="2"/>
          </rPr>
          <t xml:space="preserve">
Sobretasa Ambiental Municipal</t>
        </r>
      </text>
    </comment>
    <comment ref="K29" authorId="0" shapeId="0">
      <text>
        <r>
          <rPr>
            <b/>
            <sz val="9"/>
            <color indexed="81"/>
            <rFont val="Tahoma"/>
            <family val="2"/>
          </rPr>
          <t>Usuario:</t>
        </r>
        <r>
          <rPr>
            <sz val="9"/>
            <color indexed="81"/>
            <rFont val="Tahoma"/>
            <family val="2"/>
          </rPr>
          <t xml:space="preserve">
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energía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t>
        </r>
      </text>
    </comment>
    <comment ref="K33" authorId="0" shapeId="0">
      <text>
        <r>
          <rPr>
            <b/>
            <sz val="9"/>
            <color indexed="81"/>
            <rFont val="Tahoma"/>
            <family val="2"/>
          </rPr>
          <t>Usuario:</t>
        </r>
        <r>
          <rPr>
            <sz val="9"/>
            <color indexed="81"/>
            <rFont val="Tahoma"/>
            <family val="2"/>
          </rPr>
          <t xml:space="preserve">
Son los recursos que provienen como contribución de las empresas que producen energía a partir de fuentes no convencionales a las que se refiere la Ley 1715 de 2014, cuyas plantas con potencia nominal instalada total supere los 10.000 kilovatios, deben  cancelar una transferencia equivalente al 1% de las ventas brutas de energía por generación propia de acuerdo con la tarifa que para ventas en bloque señale la Comisión de Regulación de Energía y Gas (CREG).</t>
        </r>
      </text>
    </comment>
    <comment ref="K39" authorId="0" shapeId="0">
      <text>
        <r>
          <rPr>
            <b/>
            <sz val="9"/>
            <color indexed="81"/>
            <rFont val="Tahoma"/>
            <family val="2"/>
          </rPr>
          <t>Usuario:</t>
        </r>
        <r>
          <rPr>
            <sz val="9"/>
            <color indexed="81"/>
            <rFont val="Tahoma"/>
            <family val="2"/>
          </rPr>
          <t xml:space="preserve">
Fotocopias,Certificados,boletines,Publicaciones y Otros</t>
        </r>
      </text>
    </comment>
    <comment ref="K43" authorId="0" shapeId="0">
      <text>
        <r>
          <rPr>
            <b/>
            <sz val="9"/>
            <color indexed="81"/>
            <rFont val="Tahoma"/>
            <family val="2"/>
          </rPr>
          <t>Usuario:</t>
        </r>
        <r>
          <rPr>
            <sz val="9"/>
            <color indexed="81"/>
            <rFont val="Tahoma"/>
            <family val="2"/>
          </rPr>
          <t xml:space="preserve">
Evaluaciones y Seguimientos</t>
        </r>
      </text>
    </comment>
    <comment ref="K63" authorId="0" shapeId="0">
      <text>
        <r>
          <rPr>
            <b/>
            <sz val="9"/>
            <color indexed="81"/>
            <rFont val="Tahoma"/>
            <family val="2"/>
          </rPr>
          <t>Usuario:</t>
        </r>
        <r>
          <rPr>
            <sz val="9"/>
            <color indexed="81"/>
            <rFont val="Tahoma"/>
            <family val="2"/>
          </rPr>
          <t xml:space="preserve">
Cuota de repoblacion y reposición de babillas</t>
        </r>
      </text>
    </comment>
    <comment ref="K136" authorId="0" shapeId="0">
      <text>
        <r>
          <rPr>
            <b/>
            <sz val="9"/>
            <color indexed="81"/>
            <rFont val="Tahoma"/>
            <family val="2"/>
          </rPr>
          <t>Usuario:</t>
        </r>
        <r>
          <rPr>
            <sz val="9"/>
            <color indexed="81"/>
            <rFont val="Tahoma"/>
            <family val="2"/>
          </rPr>
          <t xml:space="preserve">
Laboratorio de Calidad Ambiental</t>
        </r>
      </text>
    </comment>
    <comment ref="K190" authorId="0" shapeId="0">
      <text>
        <r>
          <rPr>
            <b/>
            <sz val="9"/>
            <color indexed="81"/>
            <rFont val="Tahoma"/>
            <family val="2"/>
          </rPr>
          <t>Usuario:</t>
        </r>
        <r>
          <rPr>
            <sz val="9"/>
            <color indexed="81"/>
            <rFont val="Tahoma"/>
            <family val="2"/>
          </rPr>
          <t xml:space="preserve">
Son las transferencias de recursos del porcentaje del total del recaudo por concepto del impuesto predial que realizan los municipios a las corporaciones autónomas regionales presentes en su jurisdicción, en los términos que establece el artículo 44 de la Ley 99 de 1993 y el Decreto 1339 de 1994 que reglamenta la Ley.</t>
        </r>
      </text>
    </comment>
    <comment ref="K394" authorId="0" shapeId="0">
      <text>
        <r>
          <rPr>
            <b/>
            <sz val="9"/>
            <color indexed="81"/>
            <rFont val="Tahoma"/>
            <family val="2"/>
          </rPr>
          <t>Usuario:</t>
        </r>
        <r>
          <rPr>
            <sz val="9"/>
            <color indexed="81"/>
            <rFont val="Tahoma"/>
            <family val="2"/>
          </rPr>
          <t xml:space="preserve">
Convenios</t>
        </r>
      </text>
    </comment>
    <comment ref="K405" authorId="0" shapeId="0">
      <text>
        <r>
          <rPr>
            <b/>
            <sz val="9"/>
            <color indexed="81"/>
            <rFont val="Tahoma"/>
            <family val="2"/>
          </rPr>
          <t>Usuario:</t>
        </r>
        <r>
          <rPr>
            <sz val="9"/>
            <color indexed="81"/>
            <rFont val="Tahoma"/>
            <family val="2"/>
          </rPr>
          <t xml:space="preserve">
otros recursos del balance</t>
        </r>
      </text>
    </comment>
    <comment ref="AA405" authorId="0" shapeId="0">
      <text>
        <r>
          <rPr>
            <b/>
            <sz val="9"/>
            <color indexed="81"/>
            <rFont val="Tahoma"/>
            <family val="2"/>
          </rPr>
          <t>Usuario:</t>
        </r>
        <r>
          <rPr>
            <sz val="9"/>
            <color indexed="81"/>
            <rFont val="Tahoma"/>
            <family val="2"/>
          </rPr>
          <t xml:space="preserve">
Revisar si es superavit, es porque los recursos los tenian en caja</t>
        </r>
      </text>
    </comment>
    <comment ref="AA510" authorId="0" shapeId="0">
      <text>
        <r>
          <rPr>
            <b/>
            <sz val="9"/>
            <color indexed="81"/>
            <rFont val="Tahoma"/>
            <family val="2"/>
          </rPr>
          <t>Usuario:</t>
        </r>
        <r>
          <rPr>
            <sz val="9"/>
            <color indexed="81"/>
            <rFont val="Tahoma"/>
            <family val="2"/>
          </rPr>
          <t xml:space="preserve">
revisar afectación frente al gasto</t>
        </r>
      </text>
    </comment>
    <comment ref="AA511" authorId="0" shapeId="0">
      <text>
        <r>
          <rPr>
            <b/>
            <sz val="9"/>
            <color indexed="81"/>
            <rFont val="Tahoma"/>
            <family val="2"/>
          </rPr>
          <t>Usuario:</t>
        </r>
        <r>
          <rPr>
            <sz val="9"/>
            <color indexed="81"/>
            <rFont val="Tahoma"/>
            <family val="2"/>
          </rPr>
          <t xml:space="preserve">
revisar afectación frente al gasto</t>
        </r>
      </text>
    </comment>
    <comment ref="K519" authorId="0" shapeId="0">
      <text>
        <r>
          <rPr>
            <b/>
            <sz val="9"/>
            <color indexed="81"/>
            <rFont val="Tahoma"/>
            <family val="2"/>
          </rPr>
          <t>Usuario:</t>
        </r>
        <r>
          <rPr>
            <sz val="9"/>
            <color indexed="81"/>
            <rFont val="Tahoma"/>
            <family val="2"/>
          </rPr>
          <t xml:space="preserve">
Inversion CSF</t>
        </r>
      </text>
    </comment>
    <comment ref="AA519" authorId="0" shapeId="0">
      <text>
        <r>
          <rPr>
            <b/>
            <sz val="9"/>
            <color indexed="81"/>
            <rFont val="Tahoma"/>
            <family val="2"/>
          </rPr>
          <t>Usuario:</t>
        </r>
        <r>
          <rPr>
            <sz val="9"/>
            <color indexed="81"/>
            <rFont val="Tahoma"/>
            <family val="2"/>
          </rPr>
          <t xml:space="preserve">
revisar afectación frente al gasto</t>
        </r>
      </text>
    </comment>
    <comment ref="K596" authorId="1" shapeId="0">
      <text>
        <r>
          <rPr>
            <b/>
            <sz val="9"/>
            <color indexed="81"/>
            <rFont val="Tahoma"/>
            <family val="2"/>
          </rPr>
          <t>IVAN DARIO RAMIREZ B:</t>
        </r>
        <r>
          <rPr>
            <sz val="9"/>
            <color indexed="81"/>
            <rFont val="Tahoma"/>
            <family val="2"/>
          </rPr>
          <t xml:space="preserve">
aprovecamiento de parques caso CAR</t>
        </r>
      </text>
    </comment>
    <comment ref="K608" authorId="1" shapeId="0">
      <text>
        <r>
          <rPr>
            <b/>
            <sz val="9"/>
            <color indexed="81"/>
            <rFont val="Tahoma"/>
            <family val="2"/>
          </rPr>
          <t>IVAN DARIO RAMIREZ B:</t>
        </r>
        <r>
          <rPr>
            <sz val="9"/>
            <color indexed="81"/>
            <rFont val="Tahoma"/>
            <family val="2"/>
          </rPr>
          <t>CAR CVC Arriendos</t>
        </r>
      </text>
    </comment>
    <comment ref="K899" authorId="1" shapeId="0">
      <text>
        <r>
          <rPr>
            <b/>
            <sz val="9"/>
            <color indexed="81"/>
            <rFont val="Tahoma"/>
            <family val="2"/>
          </rPr>
          <t>IVAN DARIO RAMIREZ B:</t>
        </r>
        <r>
          <rPr>
            <sz val="9"/>
            <color indexed="81"/>
            <rFont val="Tahoma"/>
            <family val="2"/>
          </rPr>
          <t xml:space="preserve">
A dónde se incluyen los convenios</t>
        </r>
      </text>
    </comment>
  </commentList>
</comments>
</file>

<file path=xl/comments4.xml><?xml version="1.0" encoding="utf-8"?>
<comments xmlns="http://schemas.openxmlformats.org/spreadsheetml/2006/main">
  <authors>
    <author>Usuario</author>
  </authors>
  <commentList>
    <comment ref="M2" authorId="0" shapeId="0">
      <text>
        <r>
          <rPr>
            <b/>
            <sz val="9"/>
            <color indexed="81"/>
            <rFont val="Tahoma"/>
            <family val="2"/>
          </rPr>
          <t>Usuario:</t>
        </r>
        <r>
          <rPr>
            <sz val="9"/>
            <color indexed="81"/>
            <rFont val="Tahoma"/>
            <family val="2"/>
          </rPr>
          <t xml:space="preserve">
Incluye Recursos FONAM</t>
        </r>
      </text>
    </comment>
    <comment ref="Y98" authorId="0" shapeId="0">
      <text>
        <r>
          <rPr>
            <b/>
            <sz val="9"/>
            <color indexed="81"/>
            <rFont val="Tahoma"/>
            <family val="2"/>
          </rPr>
          <t>Usuario:</t>
        </r>
        <r>
          <rPr>
            <sz val="9"/>
            <color indexed="81"/>
            <rFont val="Tahoma"/>
            <family val="2"/>
          </rPr>
          <t xml:space="preserve">
No coincide con CUIPO</t>
        </r>
      </text>
    </comment>
  </commentList>
</comments>
</file>

<file path=xl/comments5.xml><?xml version="1.0" encoding="utf-8"?>
<comments xmlns="http://schemas.openxmlformats.org/spreadsheetml/2006/main">
  <authors>
    <author>Usuario</author>
  </authors>
  <commentList>
    <comment ref="M2" authorId="0" shapeId="0">
      <text>
        <r>
          <rPr>
            <b/>
            <sz val="9"/>
            <color indexed="81"/>
            <rFont val="Tahoma"/>
            <family val="2"/>
          </rPr>
          <t>Usuario:</t>
        </r>
        <r>
          <rPr>
            <sz val="9"/>
            <color indexed="81"/>
            <rFont val="Tahoma"/>
            <family val="2"/>
          </rPr>
          <t xml:space="preserve">
Incluye Recursos FONAM</t>
        </r>
      </text>
    </comment>
    <comment ref="Y97" authorId="0" shapeId="0">
      <text>
        <r>
          <rPr>
            <b/>
            <sz val="9"/>
            <color indexed="81"/>
            <rFont val="Tahoma"/>
            <family val="2"/>
          </rPr>
          <t>Usuario:</t>
        </r>
        <r>
          <rPr>
            <sz val="9"/>
            <color indexed="81"/>
            <rFont val="Tahoma"/>
            <family val="2"/>
          </rPr>
          <t xml:space="preserve">
No coincide con CUIPO</t>
        </r>
      </text>
    </comment>
  </commentList>
</comments>
</file>

<file path=xl/comments6.xml><?xml version="1.0" encoding="utf-8"?>
<comments xmlns="http://schemas.openxmlformats.org/spreadsheetml/2006/main">
  <authors>
    <author>Usuario</author>
  </authors>
  <commentList>
    <comment ref="G21" authorId="0" shapeId="0">
      <text>
        <r>
          <rPr>
            <b/>
            <sz val="9"/>
            <color rgb="FF000000"/>
            <rFont val="Tahoma"/>
            <family val="2"/>
          </rPr>
          <t>Usuario:</t>
        </r>
        <r>
          <rPr>
            <sz val="9"/>
            <color rgb="FF000000"/>
            <rFont val="Tahoma"/>
            <family val="2"/>
          </rPr>
          <t xml:space="preserve">
</t>
        </r>
        <r>
          <rPr>
            <sz val="9"/>
            <color rgb="FF000000"/>
            <rFont val="Tahoma"/>
            <family val="2"/>
          </rPr>
          <t>Confirmar información con Gustavo</t>
        </r>
      </text>
    </comment>
  </commentList>
</comments>
</file>

<file path=xl/comments7.xml><?xml version="1.0" encoding="utf-8"?>
<comments xmlns="http://schemas.openxmlformats.org/spreadsheetml/2006/main">
  <authors>
    <author>Usuario</author>
  </authors>
  <commentList>
    <comment ref="G20" authorId="0" shapeId="0">
      <text>
        <r>
          <rPr>
            <b/>
            <sz val="9"/>
            <color rgb="FF000000"/>
            <rFont val="Tahoma"/>
            <family val="2"/>
          </rPr>
          <t>Usuario:</t>
        </r>
        <r>
          <rPr>
            <sz val="9"/>
            <color rgb="FF000000"/>
            <rFont val="Tahoma"/>
            <family val="2"/>
          </rPr>
          <t xml:space="preserve">
</t>
        </r>
        <r>
          <rPr>
            <sz val="9"/>
            <color rgb="FF000000"/>
            <rFont val="Tahoma"/>
            <family val="2"/>
          </rPr>
          <t>Confirmar información reportada en el primer semestre</t>
        </r>
      </text>
    </comment>
  </commentList>
</comments>
</file>

<file path=xl/comments8.xml><?xml version="1.0" encoding="utf-8"?>
<comments xmlns="http://schemas.openxmlformats.org/spreadsheetml/2006/main">
  <authors>
    <author>tc={9CB463AE-A55E-446D-9B44-5835674B7BFE}</author>
    <author>tc={A5516378-ADDF-4E61-98DF-BD414214AE3D}</author>
  </authors>
  <commentList>
    <comment ref="M15"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CVC-GUIA DE 2020 REVISAR - GUILLERMO MURCIA DIRECCIÓN DE BOSQUES</t>
        </r>
      </text>
    </comment>
    <comment ref="L28" authorId="1"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con IMG POMCAS,  allí no se requiere dato de adopción - CVC</t>
        </r>
      </text>
    </comment>
  </commentList>
</comments>
</file>

<file path=xl/comments9.xml><?xml version="1.0" encoding="utf-8"?>
<comments xmlns="http://schemas.openxmlformats.org/spreadsheetml/2006/main">
  <authors>
    <author>Usuario</author>
  </authors>
  <commentList>
    <comment ref="G17" authorId="0" shapeId="0">
      <text>
        <r>
          <rPr>
            <b/>
            <sz val="9"/>
            <color rgb="FF000000"/>
            <rFont val="Tahoma"/>
            <family val="2"/>
          </rPr>
          <t>Usuario:</t>
        </r>
        <r>
          <rPr>
            <sz val="9"/>
            <color rgb="FF000000"/>
            <rFont val="Tahoma"/>
            <family val="2"/>
          </rPr>
          <t xml:space="preserve">
</t>
        </r>
        <r>
          <rPr>
            <sz val="9"/>
            <color rgb="FF000000"/>
            <rFont val="Tahoma"/>
            <family val="2"/>
          </rPr>
          <t>Confirmar meta</t>
        </r>
      </text>
    </comment>
    <comment ref="D27" authorId="0" shapeId="0">
      <text>
        <r>
          <rPr>
            <b/>
            <sz val="9"/>
            <color rgb="FF000000"/>
            <rFont val="Tahoma"/>
            <family val="2"/>
          </rPr>
          <t>Usuario:</t>
        </r>
        <r>
          <rPr>
            <sz val="9"/>
            <color rgb="FF000000"/>
            <rFont val="Tahoma"/>
            <family val="2"/>
          </rPr>
          <t xml:space="preserve">
</t>
        </r>
        <r>
          <rPr>
            <sz val="9"/>
            <color rgb="FF000000"/>
            <rFont val="Tahoma"/>
            <family val="2"/>
          </rPr>
          <t>Revisar PAI y articular inversión con las metas</t>
        </r>
      </text>
    </comment>
  </commentList>
</comments>
</file>

<file path=xl/sharedStrings.xml><?xml version="1.0" encoding="utf-8"?>
<sst xmlns="http://schemas.openxmlformats.org/spreadsheetml/2006/main" count="12472" uniqueCount="2679">
  <si>
    <t>ANEXOS INFORME DE SEGUIMIENTO AL PLAN DE ACCIÓN 2020-2023</t>
  </si>
  <si>
    <t>Nombre de la Corporación</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</si>
  <si>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</si>
  <si>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</si>
  <si>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</si>
  <si>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</si>
  <si>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</si>
  <si>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</si>
  <si>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</si>
  <si>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</si>
  <si>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</si>
  <si>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</si>
  <si>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</si>
  <si>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</si>
  <si>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</si>
  <si>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</si>
  <si>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</si>
  <si>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</si>
  <si>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</si>
  <si>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</si>
  <si>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</si>
  <si>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</si>
  <si>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</si>
  <si>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</si>
  <si>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</si>
  <si>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</si>
  <si>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</si>
  <si>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</si>
  <si>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</si>
  <si>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</si>
  <si>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</si>
  <si>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</si>
  <si>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</si>
  <si>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</si>
  <si>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</si>
  <si>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</si>
  <si>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</si>
  <si>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</si>
  <si>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</si>
  <si>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</si>
  <si>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</si>
  <si>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</si>
  <si>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</si>
  <si>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</si>
  <si>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</si>
  <si>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</si>
  <si>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</si>
  <si>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</si>
  <si>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</si>
  <si>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</si>
  <si>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</si>
  <si>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</si>
  <si>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</si>
  <si>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</si>
  <si>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</si>
  <si>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</si>
  <si>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2023-II</t>
  </si>
  <si>
    <t>2024-I</t>
  </si>
  <si>
    <t>2024-II</t>
  </si>
  <si>
    <t>2025-I</t>
  </si>
  <si>
    <t>2025-II</t>
  </si>
  <si>
    <t xml:space="preserve">MATRIZ DE SEGUIMIENTO DEL PLAN DE ACCIÓN
ANEXO No. 1. AVANCE EN LAS METAS FÍSICAS Y FINANCIERAS DEL PLAN DE ACCIÓN  </t>
  </si>
  <si>
    <t>PERIODO REPORTADO:</t>
  </si>
  <si>
    <t>COMPORTAMIENTO META FISICA 
PLAN DE ACCION</t>
  </si>
  <si>
    <t xml:space="preserve">(5)
PORCENTAJE DE AVANCE 
FISICO %
(Periodo Evaluado)
((4/3)*100)
</t>
  </si>
  <si>
    <t>(5-A) DESCRIPCIÓN DEL AVANCE 
(Se puede describir en texto lo que se desea aclarar del avance númerico respectivo)</t>
  </si>
  <si>
    <t xml:space="preserve">(7) TIPO DE EVIDENCIA </t>
  </si>
  <si>
    <t>(7-A) ACCIONES DE FUNCIONAMIENTO</t>
  </si>
  <si>
    <t>(7-B) ESTADO CONTRATO</t>
  </si>
  <si>
    <t>(7-B.1) N° CONTRATO</t>
  </si>
  <si>
    <t>(8) VALOR</t>
  </si>
  <si>
    <t>(8-A) PAGO DEL CONTRATO</t>
  </si>
  <si>
    <t>(8-B) FECHA DE PAGO</t>
  </si>
  <si>
    <t>(14) PONDERACIONES DE PROGRAMAS  Y PROYECTOS VIGENCIA 2021 (OPCIONAL DE ACUERDO AL PLAN DE ACCIÓN)</t>
  </si>
  <si>
    <t>(18) AVANCE DE LOS RECURSOS OBLIGADOS $</t>
  </si>
  <si>
    <t>contract</t>
  </si>
  <si>
    <t>Porcentaje</t>
  </si>
  <si>
    <t>Linea Estratégica</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</si>
  <si>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</si>
  <si>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</si>
  <si>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</si>
  <si>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</si>
  <si>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</si>
  <si>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</si>
  <si>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</si>
  <si>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</si>
  <si>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</si>
  <si>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</si>
  <si>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</si>
  <si>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</si>
  <si>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</si>
  <si>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</si>
  <si>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</si>
  <si>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</si>
  <si>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</si>
  <si>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</si>
  <si>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</si>
  <si>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</si>
  <si>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</si>
  <si>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</si>
  <si>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</si>
  <si>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</si>
  <si>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</si>
  <si>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</si>
  <si>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</si>
  <si>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</si>
  <si>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</si>
  <si>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</si>
  <si>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</si>
  <si>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</si>
  <si>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</si>
  <si>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</si>
  <si>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</si>
  <si>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</si>
  <si>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</si>
  <si>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</si>
  <si>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</si>
  <si>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ANEXO No. 2.PROTOCOLO O GUÍA DE DILIGENCIAMIENTO</t>
  </si>
  <si>
    <t xml:space="preserve">MATRIZ DE SEGUIMIENTO A LA GESTIÓN Y DE AVANCE EN LAS METAS FÍSICAS Y FINANCIERAS DEL PLAN DE ACCIÓN </t>
  </si>
  <si>
    <t xml:space="preserve">ITEM </t>
  </si>
  <si>
    <t>DEFINICIONES</t>
  </si>
  <si>
    <t>(1) LINEAS ESTRATEGICAS - PROGRAMAS - PROYECTOS Y ACTIVIDADES DEL PLAN DE ACCIÓN 2020-2023</t>
  </si>
  <si>
    <t>Enuncie el nombre del total de los componentes programáticos del PAI: Lineas estrategicas, programas, proyectos y actividades aprobados en el Plan de Acción, utilizando la misma estructura jerárquica del Plan.  Inserte filas cuando sea necesario ingresar mas componentes.  Recuerde que jerárquicamente las lineas están integrados por  programas, estos se componen de proyectos y estos por actividades, y en la matriz se busca conocer hasta la escala de actividad o acción estratégica.</t>
  </si>
  <si>
    <t>(2) UNIDAD DE MEDIDA</t>
  </si>
  <si>
    <t>Indique la unidad de medida correspondiente a la meta y el avance de la meta física de las actividades, ejemplo hectáreas reforestadas, hectáreas con POMCA, PGIRS Apoyados, etc.  Para el caso de Lineas estrategicas, programas y proyectos no es necesario definir la unidad de medida.</t>
  </si>
  <si>
    <t>(3) META FÍSICA ANUAL</t>
  </si>
  <si>
    <t>Identifique el valor de la meta anual programada para la vigencia que se este evaluando, con relación a la actividad que se relaciona en la columna (1). Ejemplo: hectáreas reforestadas, microcuencas con plan de ordenamiento formulado, # de vertimientos reglamentados, etc.</t>
  </si>
  <si>
    <t>(4) AVANCE DE LA META FISICA</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</si>
  <si>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</si>
  <si>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 xml:space="preserve">(4A) AVANCE DEL REZAGO DE LA META FISICA </t>
  </si>
  <si>
    <t>Reporte el avance efectuado en la ejecución de actividades que presentaron rezago en la vigencia inmediatamente anterior.</t>
  </si>
  <si>
    <t>(5) PORCENTAJE DE AVANCE FISICO (Periodo Evaluado)</t>
  </si>
  <si>
    <t>Calcule el porcentaje del avance anual de la Meta física programada. Divida el valor de la columna  (4) con el valor de la columna (3) y multiplique por 100. Si no se presenta avance en la actividad, se deberá diligenciar la matriz con ceros (0,0) y en ningún caso dejar celdas en blanco. Para el cálculo de avance de las líneas, programas y proyectos se debe tener en cuenta el valor de ponderación para la vigencia columna 14, si hay actividades que no tienen meta asociada para el periodo el valor de distribución de las ponderaciones debe distribuirse de forma proporcional entre las actividades que si tienen meta.</t>
  </si>
  <si>
    <t xml:space="preserve">(5-A) DESCRIPCIÓN DEL AVANCE </t>
  </si>
  <si>
    <t xml:space="preserve">En esta columna debe incluir una descripción o justificación o aclaración del avance del programa, proyecto, actividad. Indicar la cantidad, lugar donde se desarrollo el producto, alcance, etc. </t>
  </si>
  <si>
    <t>(6) FECHA DE EJECUCION DE  LA EVIDENCIA</t>
  </si>
  <si>
    <t>Especifique la fecha en la cual se hace el registro de la evidencia</t>
  </si>
  <si>
    <t>En esta columna se debera seleccionar si el tipo de evidencia que se esta reportando. Debe seleccionar entre las siguientes opciones: 1.Contrato  2. Funcionamiento</t>
  </si>
  <si>
    <t xml:space="preserve">TIPO DE EVIDENCIA </t>
  </si>
  <si>
    <t>funcionting</t>
  </si>
  <si>
    <t>ACCIONES DE FUNCIONAMIENTO</t>
  </si>
  <si>
    <t>Personal</t>
  </si>
  <si>
    <t>Bienes y Servicios</t>
  </si>
  <si>
    <t>Transferencia</t>
  </si>
  <si>
    <t>Si en la columna 7, se selecciono la opción contract, indicar en que estado se encuentra el contrato: Liquidado, en ejecució, saldo a favor o en reserva</t>
  </si>
  <si>
    <t>ESTADO CTO</t>
  </si>
  <si>
    <t>1153- En ejecución</t>
  </si>
  <si>
    <t>1154- Liquidado</t>
  </si>
  <si>
    <t>1155- En reserva</t>
  </si>
  <si>
    <t xml:space="preserve">1201- Saldo a Favor </t>
  </si>
  <si>
    <t>Si  selecciona en la columna 7 la opcion contrac, Indique el o los numeros de contratos asociados al avance de la actividad  separados de punto y coma (;)</t>
  </si>
  <si>
    <t>Relacione el valor comprometido para la ejecución de la actividad.</t>
  </si>
  <si>
    <t>Si para el desarrollo de la actividad se ha efectuado algún pago, indique el valor que corresponda a lo pagado</t>
  </si>
  <si>
    <t>Si en la columna 8A indico un valor pagado, especifique la fecha en la cual se efectuo.</t>
  </si>
  <si>
    <t>(9) PORCENTAJE DE AVANCE PROCESO DE GESTION DE LA META FISICA (aplica unicamente para el informe del primer semestre)</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</si>
  <si>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</si>
  <si>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(10) META FÍSICA DEL PLAN</t>
  </si>
  <si>
    <t>Identifique el valor  (en numero) de la meta del plan de acción con relación al programa y/o proyecto reportado en la columna (1). Ejemplo: hectáreas reforestadas, microcuencas con plan de ordenamiento formulado, # de vertimientos reglamentados, etc.</t>
  </si>
  <si>
    <t>(11)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</si>
  <si>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</si>
  <si>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</si>
  <si>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Indique el valor de las ponderaciones o pesos definidos para cada uno de los componente del PAI en la vigencia objeto de reporte. Si hay actividades que no tienen meta asociada para el periodo el valor de distribución de las ponderaciones debe distribuirse de forma proporcional entre las actividades que si tienen meta para la vigencia.</t>
  </si>
  <si>
    <t>(15) META FINANCIERA ANUAL</t>
  </si>
  <si>
    <t xml:space="preserve">Relacione aquí de acuerdo al plan de inversión vigente (incluye adiciones o modificaciones) los montos de inversión anual previstos para cada programa o proyecto </t>
  </si>
  <si>
    <t>(16) AVANCE DE LA META FINANCIERA PROGRAMADA (Periodo Evaluado)</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</si>
  <si>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</si>
  <si>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 AVANCE FINANCIERO (Periodo evaluado)</t>
  </si>
  <si>
    <t>Relacione aquí los recursos obligados a corte del reporte, los recursos obligadoss son aquellos que presupuestalmente son reconocidos para pago estos recursos pueden generarse el pago efectivo o quedan en cuentas por pagar.</t>
  </si>
  <si>
    <t>(19) PORCENTAJE DE AVANCE DE LOS RECURSOS OBLIGADOS</t>
  </si>
  <si>
    <t>(20) RESERVA PRESUPUESTAL</t>
  </si>
  <si>
    <t>(21) RESERVA PRESUPUESTAL DEL 2020</t>
  </si>
  <si>
    <t>Indique el valor correspondiente a los recursos que se comprometieron en la vigencia anterior pero no fueron pagados</t>
  </si>
  <si>
    <t>(21-A) OBLIGACIONES DE LA RESERVA 2020</t>
  </si>
  <si>
    <t>Indique el valor correspondiente a los recursos de la reserva presupuestal que se obligaron durante la anualidad objeto de reporte</t>
  </si>
  <si>
    <t>(22) META FINANCIERA DEL PLAN</t>
  </si>
  <si>
    <t>Relacione aquí de acuerdo al plan de inversión del Plan de Acción  los montos de inversión previstos para cada programa o proyecto para los cuatro años. (incluye adiciones o modificaciones).</t>
  </si>
  <si>
    <t xml:space="preserve">(23) AVANCE ACUMULADO DE LA META FINANCIERA </t>
  </si>
  <si>
    <t>Reporte el avance acumulado en la vigencia del Plan de Acción, desde su aprobación hasta el periodo del informe.  Ejemplo $100'000.000.oo (2020) + $150'000.000.oo (2021), da un acumulado de inversión del Plan de Acción de $250'000.000.oo</t>
  </si>
  <si>
    <t>(24) PORCENTAJE DE AVANCE FINANCIERO ACUMULADO %</t>
  </si>
  <si>
    <t>(25) OBSERVACIONES</t>
  </si>
  <si>
    <t>Realice las respectivas observaciones que sean necesarias, principalmente cuando se requiera hacer alguna precisión sobre el avance de las metas físicas y financieras..</t>
  </si>
  <si>
    <t>(26) PROGRAMA DE INVERSIÓN PUBLICA A LA QUE APORTA</t>
  </si>
  <si>
    <t>Indique el programa de inversión pública del sector ambiente con el cual se articularon los programas del PAI.</t>
  </si>
  <si>
    <t>(27) IMG AL QUE  APORTA</t>
  </si>
  <si>
    <t>Indique el indicador minimo de gestión al cual aporta la ejecución de las actividades o acciones estratégicas del PAI.</t>
  </si>
  <si>
    <t>(28) INDICADOR ODS AL QUE LE APORTA</t>
  </si>
  <si>
    <t>Indique el indicador de Objetivo de desarrollo sostenible al cual se aporta con los productos del PAI</t>
  </si>
  <si>
    <t xml:space="preserve"> INFORME DE EJECUCION PRESUPUESTAL DE INGRESOS </t>
  </si>
  <si>
    <t xml:space="preserve">RECURSOS VIGENCIA :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</si>
  <si>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</si>
  <si>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</si>
  <si>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</si>
  <si>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</si>
  <si>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</si>
  <si>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</si>
  <si>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</si>
  <si>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</si>
  <si>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</si>
  <si>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</si>
  <si>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</si>
  <si>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</si>
  <si>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</si>
  <si>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</si>
  <si>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</si>
  <si>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</si>
  <si>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</si>
  <si>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</si>
  <si>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</si>
  <si>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</si>
  <si>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</si>
  <si>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</si>
  <si>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</si>
  <si>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</si>
  <si>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</si>
  <si>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</si>
  <si>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</si>
  <si>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</si>
  <si>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</si>
  <si>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Ingresos Recursos Propios</t>
  </si>
  <si>
    <t>Ingresos Corrientes</t>
  </si>
  <si>
    <t>01</t>
  </si>
  <si>
    <t>Ingresos tributarios</t>
  </si>
  <si>
    <t>Impuestos directos</t>
  </si>
  <si>
    <t>014</t>
  </si>
  <si>
    <t xml:space="preserve">Sobretasa ambiental </t>
  </si>
  <si>
    <t>Sobretasa ambiental - Urbano</t>
  </si>
  <si>
    <t>Sobretasa ambiental - Urbano-Vigencia actual</t>
  </si>
  <si>
    <t>2</t>
  </si>
  <si>
    <t>Sobretasa ambiental - Urbano-Vigencia antarior</t>
  </si>
  <si>
    <t>3</t>
  </si>
  <si>
    <t>Sobretasa ambiental - Urbano-REcuperación de Cartera</t>
  </si>
  <si>
    <t>02</t>
  </si>
  <si>
    <t>Sobretasa ambiental -  Rural</t>
  </si>
  <si>
    <t>Sobretasa ambiental -  Rural- Vigencia Actual</t>
  </si>
  <si>
    <t>Sobretasa ambiental -  Rural- Vigencia Anterior</t>
  </si>
  <si>
    <t>Sobretasa ambiental -  Rural- REcuperación de Cartera</t>
  </si>
  <si>
    <t>201</t>
  </si>
  <si>
    <t>Sobretasa Ambiental Áreas Metropolitanas</t>
  </si>
  <si>
    <t>Sobretasa Ambiental Áreas Metropolitanas- Vigencia actual</t>
  </si>
  <si>
    <t>Sobretasa Ambiental Áreas Metropolitanas - Vigencia Anterior</t>
  </si>
  <si>
    <t>Sobretasa Ambiental Áreas Metropolitanas -REcuperación de Cartera</t>
  </si>
  <si>
    <t>Ingresos no tributarios</t>
  </si>
  <si>
    <t>Contribuciones</t>
  </si>
  <si>
    <t>05</t>
  </si>
  <si>
    <t>Contribuciones diversas</t>
  </si>
  <si>
    <t>Contribución sector eléctrico</t>
  </si>
  <si>
    <t>Contribución sector eléctrico - Generadores de energía convencional</t>
  </si>
  <si>
    <t>Contribución sector eléctrico - Generadores de energía convencional - Vigencia Actual</t>
  </si>
  <si>
    <t>Contribución sector eléctrico - Generadores de energía convencional - Vigencia Anterior</t>
  </si>
  <si>
    <t>Contribución sector eléctrico - Generadores de energía convencional -REcuperación de Cartera</t>
  </si>
  <si>
    <t>Contribución sector eléctrico - Generadores de energía no convencional</t>
  </si>
  <si>
    <t>Contribución sector eléctrico - Generadores de energía no convencional - Vigencia Actual</t>
  </si>
  <si>
    <t>Contribución sector eléctrico - Generadores de energía no convencional - Vigencia Anterior</t>
  </si>
  <si>
    <t>Contribución sector eléctrico - Generadores de energía no convencional - Recuperación de Cartera</t>
  </si>
  <si>
    <t>Tasas y derechos administrativos</t>
  </si>
  <si>
    <t>015</t>
  </si>
  <si>
    <t>Certificaciones y constancias</t>
  </si>
  <si>
    <t>Certificaciones y constancias- Vigencia Actual</t>
  </si>
  <si>
    <t>Certificaciones y constancias - Vigencia Anterior</t>
  </si>
  <si>
    <t>Certificaciones y constancias - Recuperación de Cartera</t>
  </si>
  <si>
    <t>036</t>
  </si>
  <si>
    <t>Evaluación de licencias y trámites ambientales</t>
  </si>
  <si>
    <t>Evaluación de licencias y trámites ambientales - Vigencia Actual</t>
  </si>
  <si>
    <t>Evaluación de licencias y trámites ambientales -Vigencia Anterior</t>
  </si>
  <si>
    <t>Evaluación de licencias y trámites ambientales -Recuperación de Cartera</t>
  </si>
  <si>
    <t>037</t>
  </si>
  <si>
    <t>Seguimiento a licencias y trámites ambientales</t>
  </si>
  <si>
    <t>Seguimiento a licencias y trámites ambientales - Vigencia Actual</t>
  </si>
  <si>
    <t>Seguimiento a licencias y trámites ambientales - Vigencia Anterior</t>
  </si>
  <si>
    <t>Seguimiento a licencias y trámites ambientales - Rendimientos</t>
  </si>
  <si>
    <t>055</t>
  </si>
  <si>
    <t>Tasa por el uso del agua</t>
  </si>
  <si>
    <t>Tasa por el uso del agua - Vigencia Actual</t>
  </si>
  <si>
    <t>Tasa por el uso del agua - Vigencia Anterior</t>
  </si>
  <si>
    <t>Tasa por el uso del agua - Recuperación de Cartera</t>
  </si>
  <si>
    <t>088</t>
  </si>
  <si>
    <t>Tasa retributiva</t>
  </si>
  <si>
    <t>Tasa retributiva -  Vigencia Actual</t>
  </si>
  <si>
    <t>Tasa retributiva - Vigencia Anterior</t>
  </si>
  <si>
    <t>Tasa retributiva - Recuperación de Cartera</t>
  </si>
  <si>
    <t>089</t>
  </si>
  <si>
    <t>Tasa por aprovechamiento forestal</t>
  </si>
  <si>
    <t>Tasa por aprovechamiento forestal - Vigencia Actual</t>
  </si>
  <si>
    <t>Tasa por aprovechamiento forestal - Vigencia Anterior</t>
  </si>
  <si>
    <t>Tasa por aprovechamiento forestal - Recuperación de Cartera</t>
  </si>
  <si>
    <t>090</t>
  </si>
  <si>
    <t>Tasa compensatoria por caza de fauna silvestre</t>
  </si>
  <si>
    <t>Tasa compensatoria por caza de fauna silvestre - Vigencia Actual</t>
  </si>
  <si>
    <t>Tasa compensatoria por caza de fauna silvestre - Vigencia Anterior</t>
  </si>
  <si>
    <t>Tasa compensatoria por caza de fauna silvestre - Recuperación de Cartera</t>
  </si>
  <si>
    <t>110</t>
  </si>
  <si>
    <t>Sobretasa ambiental - Peajes</t>
  </si>
  <si>
    <t>Sobretasa ambiental - Peajes - Vigencia Actual</t>
  </si>
  <si>
    <t>Sobretasa ambiental - Peajes - Vigencia Anterior</t>
  </si>
  <si>
    <t>Sobretasa ambiental - Peajes - Recuperación de Cartera</t>
  </si>
  <si>
    <t>112</t>
  </si>
  <si>
    <t>Tasa Compensatoria por la utilización permanente de la reserva forestal protectora Bosque Oriental de Bogotá</t>
  </si>
  <si>
    <t>Tasa Compensatoria por la utilización permanente de la reserva forestal protectora Bosque Oriental de Bogotá - Vigencia Actual</t>
  </si>
  <si>
    <t>Tasa Compensatoria por la utilización permanente de la reserva forestal protectora Bosque Oriental de Bogotá - Vigencia Anterior</t>
  </si>
  <si>
    <t>Tasa Compensatoria por la utilización permanente de la reserva forestal protectora Bosque Oriental de Bogotá - Recuperación de Cartera</t>
  </si>
  <si>
    <t>113</t>
  </si>
  <si>
    <t>Salvoconducto Unico Nacional</t>
  </si>
  <si>
    <t>Salvoconducto Unico Nacional - Vigencia Actual</t>
  </si>
  <si>
    <t>Salvoconducto Unico Nacional - Vigencia Anterior</t>
  </si>
  <si>
    <t>Salvoconducto Unico Nacional - Recuperación de Cartera</t>
  </si>
  <si>
    <t>03</t>
  </si>
  <si>
    <t>Multas, sanciones e intereses de mora</t>
  </si>
  <si>
    <t>001</t>
  </si>
  <si>
    <t>Multas y sanciones</t>
  </si>
  <si>
    <t>Sanciones disciplinarias</t>
  </si>
  <si>
    <t>Sanciones disciplinarias - Vigencia Actual</t>
  </si>
  <si>
    <t>Sanciones disciplinarias - Vigencia Anterior</t>
  </si>
  <si>
    <t>Sanciones disciplinarias - Recuperación de Cartera</t>
  </si>
  <si>
    <t>04</t>
  </si>
  <si>
    <t>Sanciones contractuales</t>
  </si>
  <si>
    <t>Sanciones contractuales - Vigencia Actual</t>
  </si>
  <si>
    <t>Sanciones contractuales - Vigencia Anterior</t>
  </si>
  <si>
    <t>Sanciones contractuales - Recuperación de Cartera</t>
  </si>
  <si>
    <t>Sanciones administrativas</t>
  </si>
  <si>
    <t>Sanciones administrativas - Vigencia Actual</t>
  </si>
  <si>
    <t>Sanciones administrativas - Vigencia Anterior</t>
  </si>
  <si>
    <t>Sanciones administrativas - Recuperación de Cartera</t>
  </si>
  <si>
    <t>13</t>
  </si>
  <si>
    <t>Sanciones sanitarias</t>
  </si>
  <si>
    <t>Sanciones sanitarias - Vigencia Actual</t>
  </si>
  <si>
    <t>Sanciones sanitarias - Vigencia Anterior</t>
  </si>
  <si>
    <t>Sanciones sanitarias - Recuperación de Cartera</t>
  </si>
  <si>
    <t>22</t>
  </si>
  <si>
    <t>Multas ambientales</t>
  </si>
  <si>
    <t>Multas ambientales - Vigencia Actual</t>
  </si>
  <si>
    <t>Multas ambientales - Vigencia Anterior</t>
  </si>
  <si>
    <t>Multas ambientales - Recuperación de Cartera</t>
  </si>
  <si>
    <t>002</t>
  </si>
  <si>
    <t>Intereses de mora</t>
  </si>
  <si>
    <t>Venta de bienes y servicios</t>
  </si>
  <si>
    <t>Ventas de establecimientos de mercado</t>
  </si>
  <si>
    <t>00</t>
  </si>
  <si>
    <t>Agricultura, silvicultura y productos de la pesca</t>
  </si>
  <si>
    <t>Agricultura, silvicultura y productos de la pesca - Vigencia Actual</t>
  </si>
  <si>
    <t>Agricultura, silvicultura y productos de la pesca - Vigencia Anterior</t>
  </si>
  <si>
    <t>Agricultura, silvicultura y productos de la pesca - Recuperación de Cartera</t>
  </si>
  <si>
    <t>Minerales; electricidad, gas y agua</t>
  </si>
  <si>
    <t>Minerales; electricidad, gas y agua - Vigencia Actual</t>
  </si>
  <si>
    <t>Minerales; electricidad, gas y agua - Vigencia Anterior</t>
  </si>
  <si>
    <t>Minerales; electricidad, gas y agua - Recuperación de Cartera</t>
  </si>
  <si>
    <t>Productos alimenticios, bebidas y tabaco; textiles, prendas de vestir y productos de cuero</t>
  </si>
  <si>
    <t>Productos alimenticios, bebidas y tabaco; textiles, prendas de vestir y productos de cuero - Vigencia Actual</t>
  </si>
  <si>
    <t>Productos alimenticios, bebidas y tabaco; textiles, prendas de vestir y productos de cuero - Vigencia Anterior</t>
  </si>
  <si>
    <t>Productos alimenticios, bebidas y tabaco; textiles, prendas de vestir y productos de cuero - Recuperación de Cartera</t>
  </si>
  <si>
    <t>Otros bienes transportables (excepto productos metálicos, maquinaria y equipo)</t>
  </si>
  <si>
    <t>Otros bienes transportables (excepto productos metálicos, maquinaria y equipo) - Vigencia Actual</t>
  </si>
  <si>
    <t>Otros bienes transportables (excepto productos metálicos, maquinaria y equipo) - Vigencia Anterior</t>
  </si>
  <si>
    <t>Otros bienes transportables (excepto productos metálicos, maquinaria y equipo) - Recuperación de Cartera</t>
  </si>
  <si>
    <t>Productos metálicos, maquinaria y equipo</t>
  </si>
  <si>
    <t>Productos metálicos, maquinaria y equipo - Vigencia Actual</t>
  </si>
  <si>
    <t>Productos metálicos, maquinaria y equipo - Vigencia Anterior</t>
  </si>
  <si>
    <t>Productos metálicos, maquinaria y equipo - Recuperación de Cartera</t>
  </si>
  <si>
    <t>Servicios de la construcción</t>
  </si>
  <si>
    <t>Servicios de la construcción - Vigencia Actual</t>
  </si>
  <si>
    <t>Servicios de la construcción - Vigencia Anterior</t>
  </si>
  <si>
    <t>Servicios de la construcción - Recuperación de Cartera</t>
  </si>
  <si>
    <t>06</t>
  </si>
  <si>
    <t>Servicios de alojamiento; servicios de suministro de comidas y bebidas; servicios de transporte; y servicios de distribución de electricidad, gas y agua</t>
  </si>
  <si>
    <t>Servicios de alojamiento; servicios de suministro de comidas y bebidas; servicios de transporte; y servicios de distribución de electricidad, gas y agua - Vigencia Actual</t>
  </si>
  <si>
    <t>Servicios de alojamiento; servicios de suministro de comidas y bebidas; servicios de transporte; y servicios de distribución de electricidad, gas y agua - Vigencia Anterior</t>
  </si>
  <si>
    <t>Servicios de alojamiento; servicios de suministro de comidas y bebidas; servicios de transporte; y servicios de distribución de electricidad, gas y agua - Recuperación de Cartera</t>
  </si>
  <si>
    <t>07</t>
  </si>
  <si>
    <t>Servicios financieros y servicios conexos, servicios inmobiliarios y servicios de leasing</t>
  </si>
  <si>
    <t>Servicios financieros y servicios conexos, servicios inmobiliarios y servicios de leasing - Vigencia Anterior</t>
  </si>
  <si>
    <t>Servicios financieros y servicios conexos, servicios inmobiliarios y servicios de leasing - Vigencia Actual</t>
  </si>
  <si>
    <t>Servicios financieros y servicios conexos, servicios inmobiliarios y servicios de leasing - Recuperación de Cartera</t>
  </si>
  <si>
    <t>08</t>
  </si>
  <si>
    <t xml:space="preserve">Servicios prestados a las empresas y servicios de producción </t>
  </si>
  <si>
    <t>Servicios prestados a las empresas y servicios de producción  - Vigencia Actual</t>
  </si>
  <si>
    <t>Servicios prestados a las empresas y servicios de producción  - Vigencia Anterior</t>
  </si>
  <si>
    <t>Servicios prestados a las empresas y servicios de producción  - Recuperación de Cartera</t>
  </si>
  <si>
    <t>09</t>
  </si>
  <si>
    <t>Servicios para la comunidad, sociales y personales</t>
  </si>
  <si>
    <t>Servicios para la comunidad, sociales y personales - Vigencia Actual</t>
  </si>
  <si>
    <t>Servicios para la comunidad, sociales y personales - Vigencia Anterior</t>
  </si>
  <si>
    <t>Servicios para la comunidad, sociales y personales - Recuperación de Cartera</t>
  </si>
  <si>
    <t>10</t>
  </si>
  <si>
    <t>Elementos militares de un solo uso</t>
  </si>
  <si>
    <t>Elementos militares de un solo uso - Vigencia Actual</t>
  </si>
  <si>
    <t>Elementos militares de un solo uso - Vigencia Anterior</t>
  </si>
  <si>
    <t>Elementos militares de un solo uso - Recuperación de Cartera</t>
  </si>
  <si>
    <t>Ventas incidentales de establecimientos no de mercado</t>
  </si>
  <si>
    <t>Agricultura, silvicultura y productos de la pesca -  Vigencia Anterior</t>
  </si>
  <si>
    <t>Servicios de alojamiento; servicios de suministro de comidas y bebidas; servicios de transporte; y servicios de distribución de electricidad, gas y agua -  Vigencia Actual</t>
  </si>
  <si>
    <t>Servicios prestados a las empresas y servicios de producción - Recuperación de Cartera</t>
  </si>
  <si>
    <t>Transferencias corrientes</t>
  </si>
  <si>
    <t>003</t>
  </si>
  <si>
    <t>Participaciones distintas del SGP</t>
  </si>
  <si>
    <t>Participación en impuestos</t>
  </si>
  <si>
    <t>14</t>
  </si>
  <si>
    <t>Participación ambiental en el porcentaje de recaudo del impuesto predial</t>
  </si>
  <si>
    <t>Participación ambiental en el porcentaje de recaudo del impuesto predial - Vigencia Actual</t>
  </si>
  <si>
    <t>Participación ambiental en el porcentaje de recaudo del impuesto predial - Vigencia Anterior</t>
  </si>
  <si>
    <t>Participación ambiental en el porcentaje de recaudo del impuesto predial - Recuperación de Cartera</t>
  </si>
  <si>
    <t>Participación en multas, sanciones e intereses de mora</t>
  </si>
  <si>
    <t>Participación de intereses de mora al porcentaje de recaudo del impuesto predial.</t>
  </si>
  <si>
    <t>Participación de intereses de mora al porcentaje de recaudo del impuesto predial - Vigencia Actual</t>
  </si>
  <si>
    <t>Participación de intereses de mora al porcentaje de recaudo del impuesto predial - Vigencia Anterior</t>
  </si>
  <si>
    <t>Participación de intereses de mora al porcentaje de recaudo del impuesto predial - Recuperación de Cartera</t>
  </si>
  <si>
    <t>009</t>
  </si>
  <si>
    <t>Recursos del Sistema de Seguridad Social Integral</t>
  </si>
  <si>
    <t>Sistema General de Pensiones</t>
  </si>
  <si>
    <t>Concurrencia pasivo pensional</t>
  </si>
  <si>
    <t>Concurrencia pasivo pensional - Vigencia Actual</t>
  </si>
  <si>
    <t>Concurrencia pasivo pensional -  Vigencia Anterior</t>
  </si>
  <si>
    <t>Concurrencia pasivo pensional - Recuperación de Cartera</t>
  </si>
  <si>
    <t>010</t>
  </si>
  <si>
    <t>Sentencias y conciliaciones</t>
  </si>
  <si>
    <t>Fallos nacionales</t>
  </si>
  <si>
    <t>Sentencias</t>
  </si>
  <si>
    <t>Sentencias - Vigencia Actual</t>
  </si>
  <si>
    <t>Sentencias - Vigencia Anterior</t>
  </si>
  <si>
    <t>Sentencias - Recuperación de Cartera</t>
  </si>
  <si>
    <t>Conciliaciones</t>
  </si>
  <si>
    <t>Conciliaciones - Vigencia Actual</t>
  </si>
  <si>
    <t>Conciliaciones - Vigencia Anterior</t>
  </si>
  <si>
    <t>Conciliaciones - Recuperación de Cartera</t>
  </si>
  <si>
    <t>Laudos arbitrales</t>
  </si>
  <si>
    <t>Laudos arbitrales - Vigencia Actual</t>
  </si>
  <si>
    <t>Laudos arbitrales - Vigencia Anterior</t>
  </si>
  <si>
    <t>Laudos arbitrales - Recuperación de Cartera</t>
  </si>
  <si>
    <t>011</t>
  </si>
  <si>
    <t>Indemnizaciones relacionadas con seguros no de vida</t>
  </si>
  <si>
    <t>Indemnizaciones relacionadas con seguros no de vida - Vigencia Anterior</t>
  </si>
  <si>
    <t>Indemnizaciones relacionadas con seguros no de vida - Vigencia Actual</t>
  </si>
  <si>
    <t>Indemnizaciones relacionadas con seguros no de vida - Recuperación de Cartera</t>
  </si>
  <si>
    <t>020</t>
  </si>
  <si>
    <t>Devoluciones seguridad social - pensiones</t>
  </si>
  <si>
    <t>Devoluciones seguridad social - pensiones - Vigencia Actual</t>
  </si>
  <si>
    <t>Devoluciones seguridad social - pensiones - Vigencia Anterior</t>
  </si>
  <si>
    <t>Devoluciones seguridad social - pensiones - Recuperación de Cartera</t>
  </si>
  <si>
    <t>Recursos de capital</t>
  </si>
  <si>
    <t>Disposición de activos</t>
  </si>
  <si>
    <t>Disposición de activos financieros</t>
  </si>
  <si>
    <t>Acciones</t>
  </si>
  <si>
    <t>Acciones - Vigencia Actual</t>
  </si>
  <si>
    <t>Acciones - Vigencia Anterior</t>
  </si>
  <si>
    <t>Acciones - Recuperación de Cartera</t>
  </si>
  <si>
    <t>Reducciones de capital</t>
  </si>
  <si>
    <t>Reducciones de capital - Vigencia Actual</t>
  </si>
  <si>
    <t>Reducciones de capital - Vigencia Anterior</t>
  </si>
  <si>
    <t>Reducciones de capital - Recuperación de Cartera</t>
  </si>
  <si>
    <t>Reembolso de participaciones en fondos de inversión</t>
  </si>
  <si>
    <t>Reembolso de participaciones en fondos de inversión - Vigencia Actual</t>
  </si>
  <si>
    <t>Reembolso de participaciones en fondos de inversión - Vigencia Anterior</t>
  </si>
  <si>
    <t>Reembolso de participaciones en fondos de inversión - Recuperación de Cartera</t>
  </si>
  <si>
    <t>004</t>
  </si>
  <si>
    <t>Títulos de devolución de impuestos-TIDIS</t>
  </si>
  <si>
    <t>Títulos de devolución de impuestos-TIDIS - Vigencia Actual</t>
  </si>
  <si>
    <t>Títulos de devolución de impuestos-TIDIS - Vigencia Anterior</t>
  </si>
  <si>
    <t>Títulos de devolución de impuestos-TIDIS - Recuperación de Cartera</t>
  </si>
  <si>
    <t>Disposición de activos no financieros</t>
  </si>
  <si>
    <t>Disposición de activos fijos</t>
  </si>
  <si>
    <t>Disposición de edificaciones y estructuras</t>
  </si>
  <si>
    <t>Disposición de edificaciones y estructuras - Vigencia Actual</t>
  </si>
  <si>
    <t>Disposición de edificaciones y estructuras - Vigencia Anterior</t>
  </si>
  <si>
    <t>Disposición de edificaciones y estructuras - Recuperación de Cartera</t>
  </si>
  <si>
    <t>Disposición de maquinaria y equipo</t>
  </si>
  <si>
    <t>Disposición de maquinaria y equipo - Vigencia Actual</t>
  </si>
  <si>
    <t>Disposición de maquinaria y equipo - Vigencia Anterioir</t>
  </si>
  <si>
    <t>Disposición de maquinaria y equipo - Recuperación de Cartera</t>
  </si>
  <si>
    <t>Disposición de otros activos fijos</t>
  </si>
  <si>
    <t>Disposición de recursos biológicos cultivados</t>
  </si>
  <si>
    <t>Disposición de recursos biológicos cultivados - Vigencia Actual</t>
  </si>
  <si>
    <t>Disposición de recursos biológicos cultivados - Vigencia Anterior</t>
  </si>
  <si>
    <t>Disposición de recursos biológicos cultivados - Recuperación de Cartera</t>
  </si>
  <si>
    <t>Disposición de productos de la propiedad intelectual</t>
  </si>
  <si>
    <t>Disposición de productos de la propiedad intelectual - Vigencia Actual</t>
  </si>
  <si>
    <t>Disposición de productos de la propiedad intelectual - Vigencia Anterior</t>
  </si>
  <si>
    <t>Disposición de productos de la propiedad intelectual - Recuperación de Cartera</t>
  </si>
  <si>
    <t>Disposición de objetos de valor</t>
  </si>
  <si>
    <t>Disposición de joyas y artículos conexos</t>
  </si>
  <si>
    <t>Disposición de joyas y artículos conexos - Vigencia Actual</t>
  </si>
  <si>
    <t>Disposición de joyas y artículos conexos - Vigencia Anterior</t>
  </si>
  <si>
    <t>Disposición de joyas y artículos conexos - Recuperación de Cartera</t>
  </si>
  <si>
    <t>Disposición de antigüedades u otros objetos de arte</t>
  </si>
  <si>
    <t>Disposición de antigüedades u otros objetos de arte - Vigencia Actual</t>
  </si>
  <si>
    <t>Disposición de antigüedades u otros objetos de arte - Vigencia Anterior</t>
  </si>
  <si>
    <t>Disposición de antigüedades u otros objetos de arte - Recuperación de Cartera</t>
  </si>
  <si>
    <t>Disposición de otros objetos valiosos</t>
  </si>
  <si>
    <t>Disposición de otros objetos valiosos - Vigencia Actual</t>
  </si>
  <si>
    <t>Disposición de otros objetos valiosos - Vigencia Anterior</t>
  </si>
  <si>
    <t>Disposición de otros objetos valiosos - Recuperación de Cartera</t>
  </si>
  <si>
    <t>Disposición de activos no producidos</t>
  </si>
  <si>
    <t>Disposición de  tierras y terrenos</t>
  </si>
  <si>
    <t>Disposición de  tierras y terrenos - Vigencia Actual</t>
  </si>
  <si>
    <t>Disposición de  tierras y terrenos - Vigencia Anterior</t>
  </si>
  <si>
    <t>Disposición de  tierras y terrenos - Recuperación de Cartera</t>
  </si>
  <si>
    <t>Disposición de recursos biológicos no cultivados</t>
  </si>
  <si>
    <t>Disposición de recursos biológicos no cultivados - Vigencia Actual</t>
  </si>
  <si>
    <t>Disposición de recursos biológicos no cultivados - Vigencia Anterior</t>
  </si>
  <si>
    <t>Disposición de recursos biológicos no cultivados - Recuperación de Cartera</t>
  </si>
  <si>
    <t>Dividendos y utilidades por otras inversiones de capital</t>
  </si>
  <si>
    <t>Empresas industriales y comerciales del Estado societarias</t>
  </si>
  <si>
    <t>Empresas industriales y comerciales del Estado societarias - Vigencia Actual</t>
  </si>
  <si>
    <t>Empresas industriales y comerciales del Estado societarias - Vigencia Anterior</t>
  </si>
  <si>
    <t>Empresas industriales y comerciales del Estado societarias - Recuperación de Cartera</t>
  </si>
  <si>
    <t>Sociedades de economía mixta</t>
  </si>
  <si>
    <t>Sociedades de economía mixta - Vigencia Actual</t>
  </si>
  <si>
    <t>Sociedades de economía mixta - Vigencia Anterior</t>
  </si>
  <si>
    <t>Sociedades de economía mixta - Recuperación de Cartera</t>
  </si>
  <si>
    <t>Inversiones patrimoniales no controladas</t>
  </si>
  <si>
    <t>Inversiones patrimoniales no controladas - Vigencia Actual</t>
  </si>
  <si>
    <t>Inversiones patrimoniales no controladas - Vigencia Anterior</t>
  </si>
  <si>
    <t>Inversiones patrimoniales no controladas - Recuperación de Cartera</t>
  </si>
  <si>
    <t>Inversiones en entidades controladas - entidades en el exterior</t>
  </si>
  <si>
    <t>Inversiones en entidades controladas - entidades en el exterior - Vigencia Actual</t>
  </si>
  <si>
    <t>Inversiones en entidades controladas - entidades en el exterior - Vigencia Anterior</t>
  </si>
  <si>
    <t>Inversiones en entidades controladas - entidades en el exterior - Recuperación de Cartera</t>
  </si>
  <si>
    <t>Inversiones en entidades controladas - sociedades públicas</t>
  </si>
  <si>
    <t>Inversiones en entidades controladas - sociedades públicas - Vigencia Actual</t>
  </si>
  <si>
    <t>Inversiones en entidades controladas - sociedades públicas - Vigencia Anterior</t>
  </si>
  <si>
    <t>Inversiones en entidades controladas - sociedades públicas - Recuperación de Cartera</t>
  </si>
  <si>
    <t>Rendimientos financieros</t>
  </si>
  <si>
    <t>Títulos participativos</t>
  </si>
  <si>
    <t>Depósitos</t>
  </si>
  <si>
    <t>Depósitos - Sobretasa Ambiental Urbano</t>
  </si>
  <si>
    <t>Depósitos - Sobretasa Ambiental Rural</t>
  </si>
  <si>
    <t>Depósitos - Sobretasa Ambiental Areas Metropolitanas</t>
  </si>
  <si>
    <t>Depósitos - Contribución sector eléctrico - Generadores de energía convencional</t>
  </si>
  <si>
    <t>Depósitos - Contribución sector eléctrico - Generadores de energía no convencional</t>
  </si>
  <si>
    <t>Depósitos - Certificaciones y constancias</t>
  </si>
  <si>
    <t xml:space="preserve">Depósitos - Evaluación de licencias y trámites ambientales </t>
  </si>
  <si>
    <t xml:space="preserve">Depósitos - Seguimiento de licencias y trámites ambientales </t>
  </si>
  <si>
    <t>Depósitos -  Tasa por el Uso del Agua</t>
  </si>
  <si>
    <t>Depósitos - Tasa Retributiba</t>
  </si>
  <si>
    <t>11</t>
  </si>
  <si>
    <t>Depósitos - Tasa de Aprovechamiento Forestal</t>
  </si>
  <si>
    <t>12</t>
  </si>
  <si>
    <t>Depósitos - Tasa compensatoria por caza de fauna silvestre</t>
  </si>
  <si>
    <t>Depósitos -  Sobretasa ambiental - Peajes</t>
  </si>
  <si>
    <t>Depósitos - Tasa Compensatoria por la utilización permanente de la reserva forestal protectora Bosque Oriental de Bogotá</t>
  </si>
  <si>
    <t>15</t>
  </si>
  <si>
    <t>Depósitos - Salvoconducto Unico Nacional</t>
  </si>
  <si>
    <t>16</t>
  </si>
  <si>
    <t>Depósitos - Multas ambientales</t>
  </si>
  <si>
    <t>17</t>
  </si>
  <si>
    <t>Depósitos - Intereses de mora multas y sanciones</t>
  </si>
  <si>
    <t>18</t>
  </si>
  <si>
    <t>Depósitos - Venta de bienes y servicios</t>
  </si>
  <si>
    <t>19</t>
  </si>
  <si>
    <t>Depósitos - Participación ambiental en el porcentaje de recaudo del impuesto predial</t>
  </si>
  <si>
    <t>20</t>
  </si>
  <si>
    <t>Depósitos - Participación de intereses de mora al porcentaje de recaudo del impuesto predial.</t>
  </si>
  <si>
    <t>21</t>
  </si>
  <si>
    <t>Depósitos - Concurrencia pasivo pensional</t>
  </si>
  <si>
    <t>Depósitos - Fallos Nacionales Sentencias</t>
  </si>
  <si>
    <t>23</t>
  </si>
  <si>
    <t>Depósitos - Fallos Nacionales Conciliaciones</t>
  </si>
  <si>
    <t>24</t>
  </si>
  <si>
    <t>Depósitos - Fallos Nacionales Laudos arbitrales</t>
  </si>
  <si>
    <t>25</t>
  </si>
  <si>
    <t>Depósitos - Indemnizaciones relacionadas con seguros no de vida</t>
  </si>
  <si>
    <t>26</t>
  </si>
  <si>
    <t>Depósitos -  Devoluciones seguridad Social Pensiones</t>
  </si>
  <si>
    <t>27</t>
  </si>
  <si>
    <t>Depósitos - Disposición de activos financieros</t>
  </si>
  <si>
    <t>28</t>
  </si>
  <si>
    <t>Depósitos - Disposición de activos no financieros</t>
  </si>
  <si>
    <t>29</t>
  </si>
  <si>
    <t>Depósitos - Sociedades de economía mixta</t>
  </si>
  <si>
    <t>30</t>
  </si>
  <si>
    <t>Depósitos - Dividendos y utilidades por otras inversiones de capital</t>
  </si>
  <si>
    <t>Valores distintos de acciones</t>
  </si>
  <si>
    <t>Cuenta única nacional</t>
  </si>
  <si>
    <t>Intereses por préstamos</t>
  </si>
  <si>
    <t>Rendimientos recursos de terceros</t>
  </si>
  <si>
    <t>Recursos de crédito externo</t>
  </si>
  <si>
    <t>Recursos de contratos de empréstitos externos</t>
  </si>
  <si>
    <t>Bancos comerciales</t>
  </si>
  <si>
    <t>Entidades de fomento</t>
  </si>
  <si>
    <t>Gobiernos</t>
  </si>
  <si>
    <t>Bancos centrales y agencias de gobiernos</t>
  </si>
  <si>
    <t>Organismos multilaterales</t>
  </si>
  <si>
    <t>BID</t>
  </si>
  <si>
    <t>BIRF</t>
  </si>
  <si>
    <t>CAF</t>
  </si>
  <si>
    <t>005</t>
  </si>
  <si>
    <t>Otras instituciones financieras</t>
  </si>
  <si>
    <t>FIDA</t>
  </si>
  <si>
    <t>FODI</t>
  </si>
  <si>
    <t>Recursos de crédito externo de otras instituciones financieras</t>
  </si>
  <si>
    <t>Títulos de deuda</t>
  </si>
  <si>
    <t>Bonos</t>
  </si>
  <si>
    <t>Proveedores</t>
  </si>
  <si>
    <t>Recursos de crédito interno</t>
  </si>
  <si>
    <t>Recursos de contratos de empréstitos internos</t>
  </si>
  <si>
    <t>Banca comercial</t>
  </si>
  <si>
    <t>Nación</t>
  </si>
  <si>
    <t>Banca de fomento</t>
  </si>
  <si>
    <t>006</t>
  </si>
  <si>
    <t>007</t>
  </si>
  <si>
    <t>Otras entidades no financieras</t>
  </si>
  <si>
    <t>Colocación y títulos TES</t>
  </si>
  <si>
    <t>Colocación y títulos TES clase B a corto plazo</t>
  </si>
  <si>
    <t>Colocación y títulos TES clase B a largo plazo</t>
  </si>
  <si>
    <t>Colocación y títulos TES clase A a corto plazo</t>
  </si>
  <si>
    <t>Colocación y títulos TES clase A a largo plazo</t>
  </si>
  <si>
    <t>Bonos y otros títulos emitidos</t>
  </si>
  <si>
    <t>Transferencias de capital</t>
  </si>
  <si>
    <t>Donaciones</t>
  </si>
  <si>
    <t>De gobiernos extranjeros</t>
  </si>
  <si>
    <t xml:space="preserve">No condicionadas a la adquisición de un activo </t>
  </si>
  <si>
    <t xml:space="preserve">Condicionadas a la adquisición de un activo </t>
  </si>
  <si>
    <t>De organizaciones internacionales</t>
  </si>
  <si>
    <t>Del sector privado</t>
  </si>
  <si>
    <t>Compensaciones de capital</t>
  </si>
  <si>
    <t>Resarcimiento por procesos de gestión fiscal</t>
  </si>
  <si>
    <t>Compensación por daños a la propiedad</t>
  </si>
  <si>
    <t>De otras entidades del gobierno general</t>
  </si>
  <si>
    <t>Condicionadas a la adquisición de un activo</t>
  </si>
  <si>
    <t>Condicionadas a la disminución de un pasivo</t>
  </si>
  <si>
    <t>Recuperación de cartera - préstamos</t>
  </si>
  <si>
    <t>De entidades del nivel territorial</t>
  </si>
  <si>
    <t>De otras entidades de gobierno</t>
  </si>
  <si>
    <t>De personas naturales</t>
  </si>
  <si>
    <t>De otras empresas</t>
  </si>
  <si>
    <t>Recuperación cuotas partes pensionales</t>
  </si>
  <si>
    <t>Recursos del balance</t>
  </si>
  <si>
    <t>Cancelación reservas</t>
  </si>
  <si>
    <t>Superávit fiscal</t>
  </si>
  <si>
    <t>Mayores ingresos no aforados de la vigencia Anterior</t>
  </si>
  <si>
    <t>Mayores ingresos no aforados de la vigencia Anterior - Sobretasa Ambiental Urbano</t>
  </si>
  <si>
    <t>Mayores ingresos no aforados de la vigencia Anterior - Sobretasa Ambiental Rural</t>
  </si>
  <si>
    <t>Mayores ingresos no aforados de la vigencia Anterior - Sobretasa Ambiental Areas Metropolitanas</t>
  </si>
  <si>
    <t>Mayores ingresos no aforados de la vigencia Anterior - Contribución sector eléctrico - Generadores de energía convencional</t>
  </si>
  <si>
    <t>Mayores ingresos no aforados de la vigencia Anterior - Contribución sector eléctrico - Generadores de energía no convencional</t>
  </si>
  <si>
    <t>Mayores ingresos no aforados de la vigencia Anterior - Certificaciones y constancias</t>
  </si>
  <si>
    <t xml:space="preserve">Mayores ingresos no aforados de la vigencia Anterior - Evaluación de licencias y trámites ambientales </t>
  </si>
  <si>
    <t xml:space="preserve">Mayores ingresos no aforados de la vigencia Anterior - Seguimiento de licencias y trámites ambientales </t>
  </si>
  <si>
    <t>Mayores ingresos no aforados de la vigencia Anterior -  Tasa por el Uso del Agua</t>
  </si>
  <si>
    <t>Mayores ingresos no aforados de la vigencia Anterior - Tasa Retributiba</t>
  </si>
  <si>
    <t>Mayores ingresos no aforados de la vigencia Anterior - Tasa de Aprovechamiento Forestal</t>
  </si>
  <si>
    <t>Mayores ingresos no aforados de la vigencia Anterior - Tasa compensatoria por caza de fauna silvestre</t>
  </si>
  <si>
    <t>Mayores ingresos no aforados de la vigencia Anterior -  Sobretasa ambiental - Peajes</t>
  </si>
  <si>
    <t>Mayores ingresos no aforados de la vigencia Anterior - Tasa Compensatoria por la utilización permanente de la reserva forestal protectora Bosque Oriental de Bogotá</t>
  </si>
  <si>
    <t>Mayores ingresos no aforados de la vigencia Anterior - Salvoconducto Unico Nacional</t>
  </si>
  <si>
    <t>Mayores ingresos no aforados de la vigencia Anterior - Multas ambientales</t>
  </si>
  <si>
    <t>Mayores ingresos no aforados de la vigencia Anterior - Intereses de mora multas y sanciones</t>
  </si>
  <si>
    <t>Mayores ingresos no aforados de la vigencia Anterior - Venta de bienes y servicios</t>
  </si>
  <si>
    <t>Mayores ingresos no aforados de la vigencia Anterior - Participación ambiental en el porcentaje de recaudo del impuesto predial</t>
  </si>
  <si>
    <t>Mayores ingresos no aforados de la vigencia Anterior - Participación de intereses de mora al porcentaje de recaudo del impuesto predial.</t>
  </si>
  <si>
    <t>Mayores ingresos no aforados de la vigencia Anterior - Concurrencia pasivo pensional</t>
  </si>
  <si>
    <t>Mayores ingresos no aforados de la vigencia Anterior - Fallos Nacionales Sentencias</t>
  </si>
  <si>
    <t>Mayores ingresos no aforados de la vigencia Anterior - Fallos Nacionales Conciliaciones</t>
  </si>
  <si>
    <t>Mayores ingresos no aforados de la vigencia Anterior - Fallos Nacionales Laudos arbitrales</t>
  </si>
  <si>
    <t>Mayores ingresos no aforados de la vigencia Anterior - Indemnizaciones relacionadas con seguros no de vida</t>
  </si>
  <si>
    <t>Mayores ingresos no aforados de la vigencia Anterior -  Devoluciones seguridad Social Pensiones</t>
  </si>
  <si>
    <t>Mayores ingresos no aforados de la vigencia Anterior - Disposición de activos financieros</t>
  </si>
  <si>
    <t>Mayores ingresos no aforados de la vigencia Anterior - Disposición de activos no financieros</t>
  </si>
  <si>
    <t>Mayores ingresos no aforados de la vigencia Anterior - Sociedades de economía mixta</t>
  </si>
  <si>
    <t>Mayores ingresos no aforados de la vigencia Anterior - Dividendos y utilidades por otras inversiones de capital</t>
  </si>
  <si>
    <t>31</t>
  </si>
  <si>
    <t>Mayores ingresos no aforados de la vigencia Anterior -  Rendimientos Financieros</t>
  </si>
  <si>
    <t>32</t>
  </si>
  <si>
    <t>Mayores ingresos no aforados de la vigencia Anterior -  Recuperación de Cartera</t>
  </si>
  <si>
    <t>Compromisos presupuestales cancelados vigencia anterior</t>
  </si>
  <si>
    <t>Compromisos presupuestales cancelados vigencia anterior - Sobretasa Ambiental Urbano</t>
  </si>
  <si>
    <t>Compromisos presupuestales cancelados vigencia anterior - Sobretasa Ambiental Rural</t>
  </si>
  <si>
    <t>Compromisos presupuestales cancelados vigencia anterior - Sobretasa Ambiental Areas Metropolitanas</t>
  </si>
  <si>
    <t>Compromisos presupuestales cancelados vigencia anterior - Contribución sector eléctrico - Generadores de energía convencional</t>
  </si>
  <si>
    <t>Compromisos presupuestales cancelados vigencia anterior - Contribución sector eléctrico - Generadores de energía no convencional</t>
  </si>
  <si>
    <t>Compromisos presupuestales cancelados vigencia anterior - Certificaciones y constancias</t>
  </si>
  <si>
    <t xml:space="preserve">Compromisos presupuestales cancelados vigencia anterior - Evaluación de licencias y trámites ambientales </t>
  </si>
  <si>
    <t xml:space="preserve">Compromisos presupuestales cancelados vigencia anterior - Seguimiento de licencias y trámites ambientales </t>
  </si>
  <si>
    <t>Compromisos presupuestales cancelados vigencia anterior -  Tasa por el Uso del Agua</t>
  </si>
  <si>
    <t>Compromisos presupuestales cancelados vigencia anterior - Tasa Retributiba</t>
  </si>
  <si>
    <t>Compromisos presupuestales cancelados vigencia anterior - Tasa de Aprovechamiento Forestal</t>
  </si>
  <si>
    <t>Compromisos presupuestales cancelados vigencia anterior - Tasa compensatoria por caza de fauna silvestre</t>
  </si>
  <si>
    <t>Compromisos presupuestales cancelados vigencia anterior -  Sobretasa ambiental - Peajes</t>
  </si>
  <si>
    <t>Compromisos presupuestales cancelados vigencia anterior - Tasa Compensatoria por la utilización permanente de la reserva forestal protectora Bosque Oriental de Bogotá</t>
  </si>
  <si>
    <t>Compromisos presupuestales cancelados vigencia anterior - Salvoconducto Unico Nacional</t>
  </si>
  <si>
    <t>Compromisos presupuestales cancelados vigencia anterior - Multas ambientales</t>
  </si>
  <si>
    <t>Compromisos presupuestales cancelados vigencia anterior - Intereses de mora multas y sanciones</t>
  </si>
  <si>
    <t>Compromisos presupuestales cancelados vigencia anterior - Venta de bienes y servicios</t>
  </si>
  <si>
    <t>Compromisos presupuestales cancelados vigencia anterior - Participación ambiental en el porcentaje de recaudo del impuesto predial</t>
  </si>
  <si>
    <t>Compromisos presupuestales cancelados vigencia anterior - Participación de intereses de mora al porcentaje de recaudo del impuesto predial.</t>
  </si>
  <si>
    <t>Compromisos presupuestales cancelados vigencia anterior - Concurrencia pasivo pensional</t>
  </si>
  <si>
    <t>Compromisos presupuestales cancelados vigencia anterior - Fallos Nacionales Sentencias</t>
  </si>
  <si>
    <t>Compromisos presupuestales cancelados vigencia anterior - Fallos Nacionales Conciliaciones</t>
  </si>
  <si>
    <t>Compromisos presupuestales cancelados vigencia anterior - Fallos Nacionales Laudos arbitrales</t>
  </si>
  <si>
    <t>Compromisos presupuestales cancelados vigencia anterior - Indemnizaciones relacionadas con seguros no de vida</t>
  </si>
  <si>
    <t>Compromisos presupuestales cancelados vigencia anterior -  Devoluciones seguridad Social Pensiones</t>
  </si>
  <si>
    <t>Compromisos presupuestales cancelados vigencia anterior - Disposición de activos financieros</t>
  </si>
  <si>
    <t>Compromisos presupuestales cancelados vigencia anterior - Disposición de activos no financieros</t>
  </si>
  <si>
    <t>Compromisos presupuestales cancelados vigencia anterior - Sociedades de economía mixta</t>
  </si>
  <si>
    <t>Compromisos presupuestales cancelados vigencia anterior - Dividendos y utilidades por otras inversiones de capital</t>
  </si>
  <si>
    <t>Compromisos presupuestales cancelados vigencia anterior -  Rendimientos Financieros</t>
  </si>
  <si>
    <t>Excedentes de apropiación de gastos vigencia anterior</t>
  </si>
  <si>
    <t>Excedentes de apropiación de gastos vigencia anterior - Sobretasa Ambiental Urbano</t>
  </si>
  <si>
    <t>Excedentes de apropiación de gastos vigencia anterior - Sobretasa Ambiental Rural</t>
  </si>
  <si>
    <t>Excedentes de apropiación de gastos vigencia anterior - Sobretasa Ambiental Areas Metropolitanas</t>
  </si>
  <si>
    <t>Excedentes de apropiación de gastos vigencia anterior - Contribución sector eléctrico - Generadores de energía convencional</t>
  </si>
  <si>
    <t>Excedentes de apropiación de gastos vigencia anterior - Contribución sector eléctrico - Generadores de energía no convencional</t>
  </si>
  <si>
    <t>Excedentes de apropiación de gastos vigencia anterior - Certificaciones y constancias</t>
  </si>
  <si>
    <t xml:space="preserve">Excedentes de apropiación de gastos vigencia anterior - Evaluación de licencias y trámites ambientales </t>
  </si>
  <si>
    <t xml:space="preserve">Excedentes de apropiación de gastos vigencia anterior - Seguimiento de licencias y trámites ambientales </t>
  </si>
  <si>
    <t>Excedentes de apropiación de gastos vigencia anterior -  Tasa por el Uso del Agua</t>
  </si>
  <si>
    <t>Excedentes de apropiación de gastos vigencia anterior - Tasa Retributiba</t>
  </si>
  <si>
    <t>Excedentes de apropiación de gastos vigencia anterior - Tasa de Aprovechamiento Forestal</t>
  </si>
  <si>
    <t>Excedentes de apropiación de gastos vigencia anterior - Tasa compensatoria por caza de fauna silvestre</t>
  </si>
  <si>
    <t>Excedentes de apropiación de gastos vigencia anterior -  Sobretasa ambiental - Peajes</t>
  </si>
  <si>
    <t>Excedentes de apropiación de gastos vigencia anterior - Tasa Compensatoria por la utilización permanente de la reserva forestal protectora Bosque Oriental de Bogotá</t>
  </si>
  <si>
    <t>Excedentes de apropiación de gastos vigencia anterior - Salvoconducto Unico Nacional</t>
  </si>
  <si>
    <t>Excedentes de apropiación de gastos vigencia anterior - Multas ambientales</t>
  </si>
  <si>
    <t>Excedentes de apropiación de gastos vigencia anterior - Intereses de mora multas y sanciones</t>
  </si>
  <si>
    <t>Excedentes de apropiación de gastos vigencia anterior - Venta de bienes y servicios</t>
  </si>
  <si>
    <t>Excedentes de apropiación de gastos vigencia anterior - Participación ambiental en el porcentaje de recaudo del impuesto predial</t>
  </si>
  <si>
    <t>Excedentes de apropiación de gastos vigencia anterior - Participación de intereses de mora al porcentaje de recaudo del impuesto predial.</t>
  </si>
  <si>
    <t>Excedentes de apropiación de gastos vigencia anterior - Concurrencia pasivo pensional</t>
  </si>
  <si>
    <t>Excedentes de apropiación de gastos vigencia anterior - Fallos Nacionales Sentencias</t>
  </si>
  <si>
    <t>Excedentes de apropiación de gastos vigencia anterior - Fallos Nacionales Conciliaciones</t>
  </si>
  <si>
    <t>Excedentes de apropiación de gastos vigencia anterior - Fallos Nacionales Laudos arbitrales</t>
  </si>
  <si>
    <t>Excedentes de apropiación de gastos vigencia anterior - Indemnizaciones relacionadas con seguros no de vida</t>
  </si>
  <si>
    <t>Excedentes de apropiación de gastos vigencia anterior -  Devoluciones seguridad Social Pensiones</t>
  </si>
  <si>
    <t>Excedentes de apropiación de gastos vigencia anterior - Disposición de activos financieros</t>
  </si>
  <si>
    <t>Excedentes de apropiación de gastos vigencia anterior - Disposición de activos no financieros</t>
  </si>
  <si>
    <t>Excedentes de apropiación de gastos vigencia anterior - Sociedades de economía mixta</t>
  </si>
  <si>
    <t>Excedentes de apropiación de gastos vigencia anterior - Dividendos y utilidades por otras inversiones de capital</t>
  </si>
  <si>
    <t>Excedentes de apropiación de gastos vigencia anterior -  Rendimientos Financieros</t>
  </si>
  <si>
    <t>Reintegros y otros recursos no apropiados</t>
  </si>
  <si>
    <t>Reintegros</t>
  </si>
  <si>
    <t>Recursos no apropiados</t>
  </si>
  <si>
    <t xml:space="preserve">Aportes Presupuesto General de la Nación </t>
  </si>
  <si>
    <t>Aportes Presupuesto General de la Nación - Funcionamiento</t>
  </si>
  <si>
    <t>Aportes de la Nación para Gastos de personal</t>
  </si>
  <si>
    <t>Aportes de la Nación para Adquisición de bienes y servicios</t>
  </si>
  <si>
    <t>Aportes de la Nación para Transferencias corrientes</t>
  </si>
  <si>
    <t>Aportes Presupuesto General de la Nación - Inversión</t>
  </si>
  <si>
    <t>Aportes Fondo de Compensación Ambiental -FCA</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</si>
  <si>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</si>
  <si>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</si>
  <si>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</si>
  <si>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</si>
  <si>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</si>
  <si>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</si>
  <si>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5</t>
  </si>
  <si>
    <t>Aportes del Sistema de Participación General de Regalias - SPGR</t>
  </si>
  <si>
    <t>Aportes del SPGR para Funcionamiento</t>
  </si>
  <si>
    <t>Aportes del SPGR para Gastos de personal</t>
  </si>
  <si>
    <t>Aportes del SPGR para Adquisición de bienes y servicios</t>
  </si>
  <si>
    <t>Aportes del SPGR  para Transferencias corrientes</t>
  </si>
  <si>
    <t>Aportes del SPGR para Servicio de la Deuda</t>
  </si>
  <si>
    <t>Aportes del SPGR para Inversión</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</si>
  <si>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</si>
  <si>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</si>
  <si>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</si>
  <si>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</si>
  <si>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</si>
  <si>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</si>
  <si>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</si>
  <si>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</si>
  <si>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</si>
  <si>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</si>
  <si>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</si>
  <si>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</si>
  <si>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</si>
  <si>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</si>
  <si>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</si>
  <si>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</si>
  <si>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</si>
  <si>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</si>
  <si>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</si>
  <si>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</si>
  <si>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</si>
  <si>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</si>
  <si>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</si>
  <si>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</si>
  <si>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</si>
  <si>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</si>
  <si>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</si>
  <si>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</si>
  <si>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</si>
  <si>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</si>
  <si>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</si>
  <si>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</si>
  <si>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</si>
  <si>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</si>
  <si>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</si>
  <si>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</si>
  <si>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</si>
  <si>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</si>
  <si>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</si>
  <si>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</si>
  <si>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</si>
  <si>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</si>
  <si>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GASTOS DE FUNCIONAMIENTO</t>
  </si>
  <si>
    <t>GASTOS DE PERSONAL</t>
  </si>
  <si>
    <t>ADQUISICIÓN DE BIENES Y SERVICIOS</t>
  </si>
  <si>
    <t>Adquisición de activos no financieros</t>
  </si>
  <si>
    <t>Adquisiciones diferentes de activos</t>
  </si>
  <si>
    <t>TRANSFERENCIAS CORRIENTES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</si>
  <si>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</si>
  <si>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</si>
  <si>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</si>
  <si>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</si>
  <si>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</si>
  <si>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</si>
  <si>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</si>
  <si>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</si>
  <si>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</si>
  <si>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</si>
  <si>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</si>
  <si>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</si>
  <si>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</si>
  <si>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</si>
  <si>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</si>
  <si>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</si>
  <si>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</si>
  <si>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</si>
  <si>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</si>
  <si>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</si>
  <si>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</si>
  <si>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</si>
  <si>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</si>
  <si>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</si>
  <si>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</si>
  <si>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</si>
  <si>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</si>
  <si>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</si>
  <si>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</si>
  <si>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</si>
  <si>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r>
      <t xml:space="preserve">TOTAL GASTOS DE INVERSIÓN </t>
    </r>
    <r>
      <rPr>
        <b/>
        <sz val="10"/>
        <color rgb="FFFF0000"/>
        <rFont val="Arial Narrow"/>
        <family val="2"/>
      </rPr>
      <t>(inserte filas cuando sea necesario)</t>
    </r>
  </si>
  <si>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</si>
  <si>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</si>
  <si>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</si>
  <si>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</si>
  <si>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</si>
  <si>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</si>
  <si>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</si>
  <si>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</si>
  <si>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</si>
  <si>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</si>
  <si>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</si>
  <si>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</si>
  <si>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</si>
  <si>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 xml:space="preserve">ANEXO NO. 3. MATRIZ DE REPORTE DE AVANCE DE INDICADORES MÍNIMOS DE GESTIÓN INCORPORADOS EN LA RESOLUCIÓN 667 DE 2016  </t>
  </si>
  <si>
    <t>N</t>
  </si>
  <si>
    <t>Indicador</t>
  </si>
  <si>
    <t>Acuerdo</t>
  </si>
  <si>
    <t>Programas</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</si>
  <si>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</si>
  <si>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</si>
  <si>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</si>
  <si>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</si>
  <si>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</si>
  <si>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</si>
  <si>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</si>
  <si>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</si>
  <si>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</si>
  <si>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</si>
  <si>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</si>
  <si>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</si>
  <si>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</si>
  <si>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</si>
  <si>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</si>
  <si>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</si>
  <si>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</si>
  <si>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</si>
  <si>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</si>
  <si>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</si>
  <si>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</si>
  <si>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</si>
  <si>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</si>
  <si>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</si>
  <si>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</si>
  <si>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</si>
  <si>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</si>
  <si>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</si>
  <si>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</si>
  <si>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</si>
  <si>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</si>
  <si>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</si>
  <si>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</si>
  <si>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</si>
  <si>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</si>
  <si>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</si>
  <si>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</si>
  <si>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</si>
  <si>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</si>
  <si>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</si>
  <si>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</si>
  <si>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 xml:space="preserve">Observaciones </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</si>
  <si>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</si>
  <si>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</si>
  <si>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</si>
  <si>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</si>
  <si>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Meta de POMCAS aprobados para el cuatrienio 2020-2023 (número):</t>
  </si>
  <si>
    <t>Meta de PMA aprobados para el cuatrienio 2020-2023 (número):</t>
  </si>
  <si>
    <t>Meta de PMM aprobados para el cuatrienio 2020-2023 (número):</t>
  </si>
  <si>
    <t>Datos generales de los POMCAS:</t>
  </si>
  <si>
    <t>Cuencas, acuíferos y microcuencas objeto de planes en la jurisdicción de la CAR</t>
  </si>
  <si>
    <t>Tipo de Plan (a)</t>
  </si>
  <si>
    <t>Código (b)</t>
  </si>
  <si>
    <t>Nombre de Cuenca, Microcuenca, Acuífero</t>
  </si>
  <si>
    <t>Área (Has)</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</si>
  <si>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</si>
  <si>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</si>
  <si>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</si>
  <si>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</si>
  <si>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</si>
  <si>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</si>
  <si>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</si>
  <si>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</si>
  <si>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</si>
  <si>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</si>
  <si>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</si>
  <si>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</si>
  <si>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</si>
  <si>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</si>
  <si>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</si>
  <si>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</si>
  <si>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</si>
  <si>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</si>
  <si>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</si>
  <si>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</si>
  <si>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</si>
  <si>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</si>
  <si>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</si>
  <si>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</si>
  <si>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</si>
  <si>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</si>
  <si>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</si>
  <si>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</si>
  <si>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</si>
  <si>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</si>
  <si>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</si>
  <si>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</si>
  <si>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</si>
  <si>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</si>
  <si>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</si>
  <si>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</si>
  <si>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</si>
  <si>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</si>
  <si>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</si>
  <si>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</si>
  <si>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</si>
  <si>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</si>
  <si>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</si>
  <si>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</si>
  <si>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</si>
  <si>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</si>
  <si>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</si>
  <si>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</si>
  <si>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</si>
  <si>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</si>
  <si>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</si>
  <si>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</si>
  <si>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</si>
  <si>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</si>
  <si>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</si>
  <si>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</si>
  <si>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</si>
  <si>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</si>
  <si>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</si>
  <si>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</si>
  <si>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</si>
  <si>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</si>
  <si>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</si>
  <si>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</si>
  <si>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</si>
  <si>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</si>
  <si>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</si>
  <si>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</si>
  <si>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</si>
  <si>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</si>
  <si>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</si>
  <si>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</si>
  <si>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</si>
  <si>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</si>
  <si>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</si>
  <si>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</si>
  <si>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</si>
  <si>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</si>
  <si>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</si>
  <si>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</si>
  <si>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</si>
  <si>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</si>
  <si>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</si>
  <si>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</si>
  <si>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</si>
  <si>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</si>
  <si>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</si>
  <si>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</si>
  <si>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</si>
  <si>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</si>
  <si>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</si>
  <si>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</si>
  <si>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</si>
  <si>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</si>
  <si>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</si>
  <si>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</si>
  <si>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</si>
  <si>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</si>
  <si>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</si>
  <si>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</si>
  <si>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</si>
  <si>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</si>
  <si>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</si>
  <si>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</si>
  <si>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</si>
  <si>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</si>
  <si>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</si>
  <si>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</si>
  <si>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</si>
  <si>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</si>
  <si>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</si>
  <si>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</si>
  <si>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</si>
  <si>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</si>
  <si>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</si>
  <si>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</si>
  <si>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</si>
  <si>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</si>
  <si>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</si>
  <si>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</si>
  <si>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</si>
  <si>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</si>
  <si>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</si>
  <si>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</si>
  <si>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</si>
  <si>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</si>
  <si>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</si>
  <si>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</si>
  <si>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</si>
  <si>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</si>
  <si>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</si>
  <si>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</si>
  <si>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</si>
  <si>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</si>
  <si>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</si>
  <si>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</si>
  <si>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</si>
  <si>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</si>
  <si>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</si>
  <si>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</si>
  <si>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</si>
  <si>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</si>
  <si>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</si>
  <si>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</si>
  <si>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</si>
  <si>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</si>
  <si>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</si>
  <si>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</si>
  <si>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</si>
  <si>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</si>
  <si>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</si>
  <si>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</si>
  <si>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</si>
  <si>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</si>
  <si>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</si>
  <si>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</si>
  <si>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</si>
  <si>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</si>
  <si>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</si>
  <si>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</si>
  <si>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</si>
  <si>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</si>
  <si>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</si>
  <si>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</si>
  <si>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</si>
  <si>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</si>
  <si>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</si>
  <si>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</si>
  <si>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</si>
  <si>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</si>
  <si>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</si>
  <si>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</si>
  <si>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</si>
  <si>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</si>
  <si>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</si>
  <si>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</si>
  <si>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</si>
  <si>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</si>
  <si>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</si>
  <si>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</si>
  <si>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</si>
  <si>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</si>
  <si>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</si>
  <si>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</si>
  <si>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</si>
  <si>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</si>
  <si>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</si>
  <si>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</si>
  <si>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</si>
  <si>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</si>
  <si>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</si>
  <si>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</si>
  <si>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</si>
  <si>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</si>
  <si>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</si>
  <si>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</si>
  <si>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</si>
  <si>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</si>
  <si>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</si>
  <si>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</si>
  <si>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</si>
  <si>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</si>
  <si>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</si>
  <si>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</si>
  <si>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</si>
  <si>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</si>
  <si>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</si>
  <si>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</si>
  <si>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</si>
  <si>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</si>
  <si>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</si>
  <si>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</si>
  <si>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</si>
  <si>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</si>
  <si>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</si>
  <si>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</si>
  <si>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</si>
  <si>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</si>
  <si>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</si>
  <si>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</si>
  <si>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</si>
  <si>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</si>
  <si>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</si>
  <si>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</si>
  <si>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</si>
  <si>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</si>
  <si>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</si>
  <si>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</si>
  <si>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</si>
  <si>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</si>
  <si>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</si>
  <si>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</si>
  <si>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</si>
  <si>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</si>
  <si>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</si>
  <si>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</si>
  <si>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</si>
  <si>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</si>
  <si>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</si>
  <si>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</si>
  <si>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</si>
  <si>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</si>
  <si>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</si>
  <si>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</si>
  <si>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</si>
  <si>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</si>
  <si>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</si>
  <si>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</si>
  <si>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</si>
  <si>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</si>
  <si>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</si>
  <si>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</si>
  <si>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</si>
  <si>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</si>
  <si>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</si>
  <si>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</si>
  <si>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</si>
  <si>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</si>
  <si>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</si>
  <si>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</si>
  <si>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 xml:space="preserve">Número de entes territoriales </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</si>
  <si>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</si>
  <si>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</si>
  <si>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</si>
  <si>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</si>
  <si>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</si>
  <si>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</si>
  <si>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</si>
  <si>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</si>
  <si>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</si>
  <si>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</si>
  <si>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</si>
  <si>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</si>
  <si>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</si>
  <si>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</si>
  <si>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</si>
  <si>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</si>
  <si>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</si>
  <si>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</si>
  <si>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</si>
  <si>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</si>
  <si>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</si>
  <si>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</si>
  <si>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</si>
  <si>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</si>
  <si>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</si>
  <si>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</si>
  <si>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</si>
  <si>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</si>
  <si>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</si>
  <si>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</si>
  <si>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</si>
  <si>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</si>
  <si>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</si>
  <si>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</si>
  <si>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</si>
  <si>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</si>
  <si>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</si>
  <si>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</si>
  <si>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</si>
  <si>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</si>
  <si>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</si>
  <si>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</si>
  <si>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</si>
  <si>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</si>
  <si>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</si>
  <si>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</si>
  <si>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</si>
  <si>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</si>
  <si>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</si>
  <si>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</si>
  <si>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</si>
  <si>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</si>
  <si>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</si>
  <si>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</si>
  <si>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</si>
  <si>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</si>
  <si>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</si>
  <si>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</si>
  <si>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</si>
  <si>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</si>
  <si>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</si>
  <si>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</si>
  <si>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Continentales</t>
  </si>
  <si>
    <t>Marinas, costeras  e Insulares (*)</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</si>
  <si>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</si>
  <si>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</si>
  <si>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</si>
  <si>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</si>
  <si>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</si>
  <si>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</si>
  <si>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</si>
  <si>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</si>
  <si>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</si>
  <si>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</si>
  <si>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</si>
  <si>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</si>
  <si>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</si>
  <si>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</si>
  <si>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</si>
  <si>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</si>
  <si>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</si>
  <si>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</si>
  <si>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</si>
  <si>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</si>
  <si>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</si>
  <si>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</si>
  <si>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</si>
  <si>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</si>
  <si>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</si>
  <si>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</si>
  <si>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</si>
  <si>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</si>
  <si>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</si>
  <si>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</si>
  <si>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</si>
  <si>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</si>
  <si>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</si>
  <si>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</si>
  <si>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</si>
  <si>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</si>
  <si>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</si>
  <si>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</si>
  <si>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</si>
  <si>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</si>
  <si>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</si>
  <si>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</si>
  <si>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</si>
  <si>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</si>
  <si>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</si>
  <si>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</si>
  <si>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</si>
  <si>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</si>
  <si>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</si>
  <si>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</si>
  <si>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</si>
  <si>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</si>
  <si>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</si>
  <si>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</si>
  <si>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NO APLICA</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</si>
  <si>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</si>
  <si>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</si>
  <si>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</si>
  <si>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</si>
  <si>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</si>
  <si>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</si>
  <si>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</si>
  <si>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</si>
  <si>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</si>
  <si>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</si>
  <si>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</si>
  <si>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</si>
  <si>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</si>
  <si>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</si>
  <si>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</si>
  <si>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</si>
  <si>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</si>
  <si>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</si>
  <si>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</si>
  <si>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</si>
  <si>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</si>
  <si>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</si>
  <si>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</si>
  <si>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</si>
  <si>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</si>
  <si>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Ponderaciones de referencia</t>
  </si>
  <si>
    <t>NO SE REPORTA</t>
  </si>
  <si>
    <t>Descripción</t>
  </si>
  <si>
    <t>Ponderación</t>
  </si>
  <si>
    <t>Preparación</t>
  </si>
  <si>
    <t xml:space="preserve">Definición de la unidad objeto de ordenación forestal
Asignación de recursos
Inicio del proceso pre y contractual
Conformación del equipo de trabajo  </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</si>
  <si>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</si>
  <si>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</si>
  <si>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</si>
  <si>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</si>
  <si>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</si>
  <si>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</si>
  <si>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</si>
  <si>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</si>
  <si>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</si>
  <si>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</si>
  <si>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</si>
  <si>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</si>
  <si>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</si>
  <si>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</si>
  <si>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</si>
  <si>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</si>
  <si>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</si>
  <si>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</si>
  <si>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</si>
  <si>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</si>
  <si>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</si>
  <si>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</si>
  <si>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</si>
  <si>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</si>
  <si>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</si>
  <si>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</si>
  <si>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</si>
  <si>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</si>
  <si>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</si>
  <si>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</si>
  <si>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</si>
  <si>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</si>
  <si>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</si>
  <si>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</si>
  <si>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</si>
  <si>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</si>
  <si>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</si>
  <si>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</si>
  <si>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</si>
  <si>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</si>
  <si>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</si>
  <si>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</si>
  <si>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</si>
  <si>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</si>
  <si>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</si>
  <si>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</si>
  <si>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</si>
  <si>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</si>
  <si>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</si>
  <si>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</si>
  <si>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</si>
  <si>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</si>
  <si>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</si>
  <si>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</si>
  <si>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</si>
  <si>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</si>
  <si>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</si>
  <si>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</si>
  <si>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</si>
  <si>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</si>
  <si>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</si>
  <si>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</si>
  <si>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</si>
  <si>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</si>
  <si>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</si>
  <si>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</si>
  <si>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</si>
  <si>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</si>
  <si>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</si>
  <si>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</si>
  <si>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</si>
  <si>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</si>
  <si>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</si>
  <si>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</si>
  <si>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</si>
  <si>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</si>
  <si>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</si>
  <si>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</si>
  <si>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</si>
  <si>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</si>
  <si>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</si>
  <si>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</si>
  <si>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</si>
  <si>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</si>
  <si>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</si>
  <si>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</si>
  <si>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</si>
  <si>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</si>
  <si>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</si>
  <si>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</si>
  <si>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</si>
  <si>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</si>
  <si>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</si>
  <si>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</si>
  <si>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</si>
  <si>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</si>
  <si>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</si>
  <si>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</si>
  <si>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</si>
  <si>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</si>
  <si>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</si>
  <si>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</si>
  <si>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</si>
  <si>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</si>
  <si>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</si>
  <si>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</si>
  <si>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</si>
  <si>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</si>
  <si>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</si>
  <si>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</si>
  <si>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</si>
  <si>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</si>
  <si>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</si>
  <si>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</si>
  <si>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</si>
  <si>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</si>
  <si>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</si>
  <si>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</si>
  <si>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</si>
  <si>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</si>
  <si>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</si>
  <si>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</si>
  <si>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</si>
  <si>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</si>
  <si>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</si>
  <si>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</si>
  <si>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</si>
  <si>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</si>
  <si>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</si>
  <si>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</si>
  <si>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</si>
  <si>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</si>
  <si>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</si>
  <si>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</si>
  <si>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</si>
  <si>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</si>
  <si>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</si>
  <si>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</si>
  <si>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</si>
  <si>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</si>
  <si>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</si>
  <si>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</si>
  <si>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</si>
  <si>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</si>
  <si>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</si>
  <si>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</si>
  <si>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</si>
  <si>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</si>
  <si>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</si>
  <si>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</si>
  <si>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</si>
  <si>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</si>
  <si>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</si>
  <si>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</si>
  <si>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</si>
  <si>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</si>
  <si>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</si>
  <si>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</si>
  <si>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</si>
  <si>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</si>
  <si>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</si>
  <si>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</si>
  <si>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</si>
  <si>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</si>
  <si>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</si>
  <si>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</si>
  <si>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</si>
  <si>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</si>
  <si>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</si>
  <si>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</si>
  <si>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</si>
  <si>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</si>
  <si>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</si>
  <si>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</si>
  <si>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</si>
  <si>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</si>
  <si>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</si>
  <si>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</si>
  <si>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</si>
  <si>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</si>
  <si>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</si>
  <si>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</si>
  <si>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</si>
  <si>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</si>
  <si>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</si>
  <si>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</si>
  <si>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</si>
  <si>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</si>
  <si>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</si>
  <si>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</si>
  <si>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</si>
  <si>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</si>
  <si>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</si>
  <si>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</si>
  <si>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</si>
  <si>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Articulación junto con los entes territoriales en el manejo integrado de zonas costeras</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</si>
  <si>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</si>
  <si>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</si>
  <si>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</si>
  <si>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</si>
  <si>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</si>
  <si>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</si>
  <si>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</si>
  <si>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</si>
  <si>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</si>
  <si>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</si>
  <si>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</si>
  <si>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</si>
  <si>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</si>
  <si>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</si>
  <si>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</si>
  <si>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</si>
  <si>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</si>
  <si>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</si>
  <si>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</si>
  <si>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</si>
  <si>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</si>
  <si>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</si>
  <si>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</si>
  <si>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</si>
  <si>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</si>
  <si>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</si>
  <si>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</si>
  <si>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</si>
  <si>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</si>
  <si>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</si>
  <si>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</si>
  <si>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</si>
  <si>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</si>
  <si>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</si>
  <si>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</si>
  <si>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</si>
  <si>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</si>
  <si>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</si>
  <si>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</si>
  <si>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</si>
  <si>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</si>
  <si>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</si>
  <si>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</si>
  <si>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</si>
  <si>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</si>
  <si>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</si>
  <si>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</si>
  <si>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</si>
  <si>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</si>
  <si>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</si>
  <si>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</si>
  <si>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</si>
  <si>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</si>
  <si>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</si>
  <si>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</si>
  <si>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</si>
  <si>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</si>
  <si>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</si>
  <si>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</si>
  <si>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</si>
  <si>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</si>
  <si>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</si>
  <si>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</si>
  <si>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</si>
  <si>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</si>
  <si>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</si>
  <si>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</si>
  <si>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</si>
  <si>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</si>
  <si>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</si>
  <si>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</si>
  <si>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</si>
  <si>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</si>
  <si>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</si>
  <si>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</si>
  <si>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</si>
  <si>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</si>
  <si>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</si>
  <si>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</si>
  <si>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</si>
  <si>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</si>
  <si>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</si>
  <si>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</si>
  <si>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</si>
  <si>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</si>
  <si>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</si>
  <si>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</si>
  <si>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</si>
  <si>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</si>
  <si>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</si>
  <si>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</si>
  <si>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</si>
  <si>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</si>
  <si>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</si>
  <si>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</si>
  <si>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</si>
  <si>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</si>
  <si>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</si>
  <si>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</si>
  <si>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</si>
  <si>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</si>
  <si>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</si>
  <si>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</si>
  <si>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</si>
  <si>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Porcentaje de ejecución de acciones relacionadas con la gestión ambiental urbana.</t>
  </si>
  <si>
    <t>Número de acciones relacionadas con gestión ambiental urbana</t>
  </si>
  <si>
    <t>Ejecución física de las acciones relacionadas con la gestión ambiental urbana</t>
  </si>
  <si>
    <t>Implementar el programa de acreditación de laboratorios de medición de calidad del aire y ruido ambiental</t>
  </si>
  <si>
    <t>Gestión del Recurso Hídrico en áreas urbanas</t>
  </si>
  <si>
    <t>Operar el sistema de vigilancia de calidad del aire</t>
  </si>
  <si>
    <t>Gestión de Residuos sólidos en áreas urbanas</t>
  </si>
  <si>
    <t>Realizar el seguimiento de los Planes de saneamiento y manejo de vertimientos (PSMV)</t>
  </si>
  <si>
    <t>Índice de calidad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</si>
  <si>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</si>
  <si>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</si>
  <si>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</si>
  <si>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</si>
  <si>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</si>
  <si>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</si>
  <si>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</si>
  <si>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</si>
  <si>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</si>
  <si>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</si>
  <si>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</si>
  <si>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</si>
  <si>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</si>
  <si>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</si>
  <si>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</si>
  <si>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</si>
  <si>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</si>
  <si>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</si>
  <si>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</si>
  <si>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</si>
  <si>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</si>
  <si>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</si>
  <si>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</si>
  <si>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</si>
  <si>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</si>
  <si>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</si>
  <si>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</si>
  <si>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</si>
  <si>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</si>
  <si>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</si>
  <si>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</si>
  <si>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</si>
  <si>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</si>
  <si>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</si>
  <si>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</si>
  <si>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</si>
  <si>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</si>
  <si>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</si>
  <si>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</si>
  <si>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</si>
  <si>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</si>
  <si>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</si>
  <si>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</si>
  <si>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</si>
  <si>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</si>
  <si>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</si>
  <si>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</si>
  <si>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</si>
  <si>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</si>
  <si>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</si>
  <si>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</si>
  <si>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</si>
  <si>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</si>
  <si>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</si>
  <si>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</si>
  <si>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</si>
  <si>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</si>
  <si>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</si>
  <si>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</si>
  <si>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</si>
  <si>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</si>
  <si>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</si>
  <si>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</si>
  <si>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</si>
  <si>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</si>
  <si>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</si>
  <si>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</si>
  <si>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</si>
  <si>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</si>
  <si>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</si>
  <si>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</si>
  <si>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</si>
  <si>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</si>
  <si>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</si>
  <si>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</si>
  <si>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</si>
  <si>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</si>
  <si>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</si>
  <si>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</si>
  <si>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</si>
  <si>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</si>
  <si>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</si>
  <si>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</si>
  <si>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</si>
  <si>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</si>
  <si>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</si>
  <si>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</si>
  <si>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</si>
  <si>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</si>
  <si>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</si>
  <si>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</si>
  <si>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</si>
  <si>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</si>
  <si>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</si>
  <si>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</si>
  <si>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</si>
  <si>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</si>
  <si>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</si>
  <si>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</si>
  <si>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</si>
  <si>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</si>
  <si>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</si>
  <si>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</si>
  <si>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</si>
  <si>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</si>
  <si>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</si>
  <si>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</si>
  <si>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</si>
  <si>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</si>
  <si>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</si>
  <si>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</si>
  <si>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</si>
  <si>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</si>
  <si>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</si>
  <si>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</si>
  <si>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</si>
  <si>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</si>
  <si>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</si>
  <si>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</si>
  <si>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</si>
  <si>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</si>
  <si>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</si>
  <si>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</si>
  <si>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</si>
  <si>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</si>
  <si>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</si>
  <si>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</si>
  <si>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</si>
  <si>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</si>
  <si>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</si>
  <si>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</si>
  <si>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</si>
  <si>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</si>
  <si>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</si>
  <si>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</si>
  <si>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</si>
  <si>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</si>
  <si>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</si>
  <si>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</si>
  <si>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</si>
  <si>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</si>
  <si>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</si>
  <si>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</si>
  <si>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</si>
  <si>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</si>
  <si>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</si>
  <si>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</si>
  <si>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</si>
  <si>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</si>
  <si>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</si>
  <si>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</si>
  <si>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</si>
  <si>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</si>
  <si>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</si>
  <si>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</si>
  <si>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</si>
  <si>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</si>
  <si>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</si>
  <si>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</si>
  <si>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</si>
  <si>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</si>
  <si>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</si>
  <si>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</si>
  <si>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</si>
  <si>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</si>
  <si>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</si>
  <si>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</si>
  <si>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</si>
  <si>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</si>
  <si>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</si>
  <si>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</si>
  <si>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</si>
  <si>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</si>
  <si>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</si>
  <si>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</si>
  <si>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</si>
  <si>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</si>
  <si>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</si>
  <si>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</si>
  <si>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</si>
  <si>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</si>
  <si>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</si>
  <si>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</si>
  <si>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</si>
  <si>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</si>
  <si>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</si>
  <si>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</si>
  <si>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</si>
  <si>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</si>
  <si>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</si>
  <si>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</si>
  <si>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</si>
  <si>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</si>
  <si>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</si>
  <si>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</si>
  <si>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</si>
  <si>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</si>
  <si>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</si>
  <si>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</si>
  <si>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</si>
  <si>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</si>
  <si>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</si>
  <si>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</si>
  <si>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</si>
  <si>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</si>
  <si>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</si>
  <si>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</si>
  <si>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</si>
  <si>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</si>
  <si>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</si>
  <si>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</si>
  <si>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</si>
  <si>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</si>
  <si>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</si>
  <si>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</si>
  <si>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</si>
  <si>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</si>
  <si>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</si>
  <si>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</si>
  <si>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</si>
  <si>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</si>
  <si>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</si>
  <si>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</si>
  <si>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</si>
  <si>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</si>
  <si>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</si>
  <si>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</si>
  <si>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</si>
  <si>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</si>
  <si>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</si>
  <si>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</si>
  <si>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</si>
  <si>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</si>
  <si>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</si>
  <si>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</si>
  <si>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</si>
  <si>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</si>
  <si>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</si>
  <si>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</si>
  <si>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</si>
  <si>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</si>
  <si>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</si>
  <si>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</si>
  <si>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</si>
  <si>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</si>
  <si>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</si>
  <si>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</si>
  <si>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</si>
  <si>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</si>
  <si>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</si>
  <si>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</si>
  <si>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</si>
  <si>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</si>
  <si>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</si>
  <si>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</si>
  <si>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</si>
  <si>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</si>
  <si>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</si>
  <si>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</si>
  <si>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</si>
  <si>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</si>
  <si>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</si>
  <si>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</si>
  <si>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</si>
  <si>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</si>
  <si>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</si>
  <si>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</si>
  <si>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</si>
  <si>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</si>
  <si>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</si>
  <si>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</si>
  <si>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</si>
  <si>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</si>
  <si>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</si>
  <si>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</si>
  <si>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</si>
  <si>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</si>
  <si>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</si>
  <si>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</si>
  <si>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</si>
  <si>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</si>
  <si>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</si>
  <si>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</si>
  <si>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</si>
  <si>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</si>
  <si>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</si>
  <si>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</si>
  <si>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</si>
  <si>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</si>
  <si>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</si>
  <si>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</si>
  <si>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</si>
  <si>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</si>
  <si>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</si>
  <si>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</si>
  <si>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</si>
  <si>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</si>
  <si>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</si>
  <si>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</si>
  <si>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</si>
  <si>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</si>
  <si>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</si>
  <si>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</si>
  <si>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</si>
  <si>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</si>
  <si>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</si>
  <si>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</si>
  <si>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</si>
  <si>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</si>
  <si>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</si>
  <si>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</si>
  <si>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</si>
  <si>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</si>
  <si>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</si>
  <si>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</si>
  <si>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</si>
  <si>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</si>
  <si>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</si>
  <si>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</si>
  <si>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</si>
  <si>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</si>
  <si>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</si>
  <si>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</si>
  <si>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</si>
  <si>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</si>
  <si>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</si>
  <si>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</si>
  <si>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</si>
  <si>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</si>
  <si>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</si>
  <si>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</si>
  <si>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</si>
  <si>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</si>
  <si>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</si>
  <si>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</si>
  <si>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</si>
  <si>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</si>
  <si>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</si>
  <si>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</si>
  <si>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</si>
  <si>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</si>
  <si>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</si>
  <si>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</si>
  <si>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</si>
  <si>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</si>
  <si>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</si>
  <si>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</si>
  <si>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</si>
  <si>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</si>
  <si>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</si>
  <si>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</si>
  <si>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</si>
  <si>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</si>
  <si>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</si>
  <si>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</si>
  <si>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</si>
  <si>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</si>
  <si>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</si>
  <si>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</si>
  <si>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</si>
  <si>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</si>
  <si>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</si>
  <si>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</si>
  <si>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</si>
  <si>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</si>
  <si>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</si>
  <si>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</si>
  <si>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</si>
  <si>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</si>
  <si>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</si>
  <si>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</si>
  <si>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</si>
  <si>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</si>
  <si>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</si>
  <si>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</si>
  <si>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</si>
  <si>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</si>
  <si>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</si>
  <si>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</si>
  <si>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</si>
  <si>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</si>
  <si>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</si>
  <si>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</si>
  <si>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</si>
  <si>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</si>
  <si>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</si>
  <si>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</si>
  <si>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</si>
  <si>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</si>
  <si>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</si>
  <si>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</si>
  <si>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</si>
  <si>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</si>
  <si>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</si>
  <si>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</si>
  <si>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</si>
  <si>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</si>
  <si>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</si>
  <si>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</si>
  <si>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</si>
  <si>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</si>
  <si>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</si>
  <si>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</si>
  <si>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</si>
  <si>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</si>
  <si>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</si>
  <si>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</si>
  <si>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</si>
  <si>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</si>
  <si>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</si>
  <si>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</si>
  <si>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</si>
  <si>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</si>
  <si>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</si>
  <si>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</si>
  <si>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</si>
  <si>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</si>
  <si>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</si>
  <si>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</si>
  <si>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</si>
  <si>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</si>
  <si>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</si>
  <si>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</si>
  <si>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</si>
  <si>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</si>
  <si>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</si>
  <si>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</si>
  <si>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</si>
  <si>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</si>
  <si>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</si>
  <si>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</si>
  <si>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</si>
  <si>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</si>
  <si>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</si>
  <si>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</si>
  <si>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</si>
  <si>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</si>
  <si>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</si>
  <si>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</si>
  <si>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</si>
  <si>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</si>
  <si>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</si>
  <si>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</si>
  <si>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</si>
  <si>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</si>
  <si>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</si>
  <si>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Observaciones para la mejora de la aplicación de los indicadores</t>
  </si>
  <si>
    <t>No. Hoja</t>
  </si>
  <si>
    <t>Observación</t>
  </si>
  <si>
    <t>Hoja de fórmulas</t>
  </si>
  <si>
    <t>Si en la columna 7, se selecciono la opción Funcionting, indicar a través de que tipo de acción asociada a funcionamiento se desarrollo la activividad.</t>
  </si>
  <si>
    <r>
      <t>Calcule el porcentaje del avance de la Meta física acumulada. Divida el valor de la columna  (11) con el valor de la columna (</t>
    </r>
    <r>
      <rPr>
        <sz val="7"/>
        <color rgb="FFFF0000"/>
        <rFont val="Arial Narrow"/>
        <family val="2"/>
      </rPr>
      <t>10</t>
    </r>
    <r>
      <rPr>
        <sz val="7"/>
        <rFont val="Arial Narrow"/>
        <family val="2"/>
      </rPr>
      <t>) y multiplique por 100. Para el cálculo de avance de las líneas, programas y proyectos se debe tener en cuenta el valor de ponderación para la vigencia columna 13</t>
    </r>
  </si>
  <si>
    <r>
      <t xml:space="preserve">(13) PONDERACIONES DE PROGRAMAS, </t>
    </r>
    <r>
      <rPr>
        <b/>
        <sz val="7"/>
        <color rgb="FFFF0000"/>
        <rFont val="Arial Narrow"/>
        <family val="2"/>
      </rPr>
      <t>PROYECTOS Y ACTIVIDADES</t>
    </r>
  </si>
  <si>
    <r>
      <t>Calcule el porcentaje del avance anual de la Meta financiera programada. Divida el valor de la columna  (</t>
    </r>
    <r>
      <rPr>
        <sz val="7"/>
        <color rgb="FFFF0000"/>
        <rFont val="Arial Narrow"/>
        <family val="2"/>
      </rPr>
      <t>16</t>
    </r>
    <r>
      <rPr>
        <sz val="7"/>
        <rFont val="Arial Narrow"/>
        <family val="2"/>
      </rPr>
      <t>) con el valor de la columna (</t>
    </r>
    <r>
      <rPr>
        <sz val="7"/>
        <color rgb="FFFF0000"/>
        <rFont val="Arial Narrow"/>
        <family val="2"/>
      </rPr>
      <t>15</t>
    </r>
    <r>
      <rPr>
        <sz val="7"/>
        <rFont val="Arial Narrow"/>
        <family val="2"/>
      </rPr>
      <t xml:space="preserve">) y multiplique por 100. </t>
    </r>
  </si>
  <si>
    <r>
      <t>Se calcula el avance porcentual a la relación entre el avance de la meta financiera (1</t>
    </r>
    <r>
      <rPr>
        <sz val="7"/>
        <color rgb="FFFF0000"/>
        <rFont val="Arial Narrow"/>
        <family val="2"/>
      </rPr>
      <t>8</t>
    </r>
    <r>
      <rPr>
        <sz val="7"/>
        <rFont val="Arial Narrow"/>
        <family val="2"/>
      </rPr>
      <t>) y los recursos obligados (1</t>
    </r>
    <r>
      <rPr>
        <sz val="7"/>
        <color rgb="FFFF0000"/>
        <rFont val="Arial Narrow"/>
        <family val="2"/>
      </rPr>
      <t>6</t>
    </r>
    <r>
      <rPr>
        <sz val="7"/>
        <rFont val="Arial Narrow"/>
        <family val="2"/>
      </rPr>
      <t>)</t>
    </r>
  </si>
  <si>
    <r>
      <t>se calcula la diferencia entre los el avance de la meta financiera (1</t>
    </r>
    <r>
      <rPr>
        <sz val="7"/>
        <color rgb="FFFF0000"/>
        <rFont val="Arial Narrow"/>
        <family val="2"/>
      </rPr>
      <t>6</t>
    </r>
    <r>
      <rPr>
        <sz val="7"/>
        <rFont val="Arial Narrow"/>
        <family val="2"/>
      </rPr>
      <t>) y los recursos obligados (1</t>
    </r>
    <r>
      <rPr>
        <sz val="7"/>
        <color rgb="FFFF0000"/>
        <rFont val="Arial Narrow"/>
        <family val="2"/>
      </rPr>
      <t>8</t>
    </r>
    <r>
      <rPr>
        <sz val="7"/>
        <rFont val="Arial Narrow"/>
        <family val="2"/>
      </rPr>
      <t>)</t>
    </r>
  </si>
  <si>
    <r>
      <t>Calcule el porcentaje del avance acumulado de la Meta financiera programada en el Plan de Acción. Divida el valor de la columna  (</t>
    </r>
    <r>
      <rPr>
        <sz val="7"/>
        <color rgb="FFFF0000"/>
        <rFont val="Arial Narrow"/>
        <family val="2"/>
      </rPr>
      <t>23</t>
    </r>
    <r>
      <rPr>
        <sz val="7"/>
        <rFont val="Arial Narrow"/>
        <family val="2"/>
      </rPr>
      <t>) con el valor de la columna (</t>
    </r>
    <r>
      <rPr>
        <sz val="7"/>
        <color rgb="FFFF0000"/>
        <rFont val="Arial Narrow"/>
        <family val="2"/>
      </rPr>
      <t>22</t>
    </r>
    <r>
      <rPr>
        <sz val="7"/>
        <rFont val="Arial Narrow"/>
        <family val="2"/>
      </rPr>
      <t>) y multiplique por 100.</t>
    </r>
  </si>
  <si>
    <r>
      <t xml:space="preserve">Indique el valor de las ponderaciones o pesos definidos para cada uno de los componente del PAI </t>
    </r>
    <r>
      <rPr>
        <sz val="7"/>
        <color rgb="FFFF0000"/>
        <rFont val="Arial Narrow"/>
        <family val="2"/>
      </rPr>
      <t>durante todo el periodo administrativo (2020-2023)</t>
    </r>
  </si>
  <si>
    <t>CRISTIAN CAÑÓN BERNAL</t>
  </si>
  <si>
    <t>SUBDIRECCIÓN DE PLANEACIÓN</t>
  </si>
  <si>
    <t>SUBDIRECTOR DE PLANEACIÓN</t>
  </si>
  <si>
    <t>CCANON@CARDIQUE.GOV.CO</t>
  </si>
  <si>
    <t>N.A.</t>
  </si>
  <si>
    <t>SIN INFORMACION</t>
  </si>
  <si>
    <t>Directos al Caribe Sur - Ciénaga de la Virgen</t>
  </si>
  <si>
    <t>Directos al Bajo Magdalena entre Plato y Calamar (Margen Izquierda - M.I.)</t>
  </si>
  <si>
    <t>Canal del Dique (Liderada por CRA)</t>
  </si>
  <si>
    <t>La Mojana - Río Cauca (Liderado por Carsucre)</t>
  </si>
  <si>
    <t>Arroyos que Vierten al Caribe Norte</t>
  </si>
  <si>
    <t>Arroyos que Vierten al Golfo de Morrosquillo</t>
  </si>
  <si>
    <t>POMCA arroyos que vierten al caribe norte</t>
  </si>
  <si>
    <t/>
  </si>
  <si>
    <t>Cardique</t>
  </si>
  <si>
    <t>Subdirección de Planeación</t>
  </si>
  <si>
    <t>Profesional especializado</t>
  </si>
  <si>
    <t>gbeltran@cardique.gov.co</t>
  </si>
  <si>
    <t>Bosque, Isla de Manzanillo. Transv. 52 Nº 16 -190</t>
  </si>
  <si>
    <t>Subdirección de Gestión Ambiental</t>
  </si>
  <si>
    <t>Gustavo Calderón Carrascal</t>
  </si>
  <si>
    <t>gcalderon@cardique.gov.co</t>
  </si>
  <si>
    <t>Este indicador no tiene acciones , ni meta asociadas para el periodo 2020 - 2023</t>
  </si>
  <si>
    <t>Subdirección de Planeción</t>
  </si>
  <si>
    <t>Germán Beltrán García</t>
  </si>
  <si>
    <t>Todos</t>
  </si>
  <si>
    <t>Ejecución en cuencas con o sin Pomcas</t>
  </si>
  <si>
    <t>Implementación de POMCAS - PAI/Proyectos PAI</t>
  </si>
  <si>
    <t>Jaime Romero Ortega</t>
  </si>
  <si>
    <t>jromero@cardique.gov.co</t>
  </si>
  <si>
    <t>Luis Eduardo Pérez Barrios</t>
  </si>
  <si>
    <t>lperez@cardique.gov.co</t>
  </si>
  <si>
    <t>Contamos con Plan de Ordenamiento Forestal Vigente</t>
  </si>
  <si>
    <t>Acuerdo 002 - 14 de junio de 2018, jurisdicción de Cardique Continental</t>
  </si>
  <si>
    <t>Hernán Pélaez Ríos</t>
  </si>
  <si>
    <t>hpelaez@cardique.gov.co</t>
  </si>
  <si>
    <t>Manati</t>
  </si>
  <si>
    <t>Continental</t>
  </si>
  <si>
    <t>Fauna</t>
  </si>
  <si>
    <t>Pomiuac Magadalena y Morrosquillo</t>
  </si>
  <si>
    <t>Hernando Hernández Rodríguez</t>
  </si>
  <si>
    <t>hhernandez@cardique.gov.co</t>
  </si>
  <si>
    <t>Benjamín diFilippo Valenzuela</t>
  </si>
  <si>
    <t>Profesional Especialiado</t>
  </si>
  <si>
    <t>bdifilippo@cardique.gov.co</t>
  </si>
  <si>
    <t>Donaldo Berrio Romero</t>
  </si>
  <si>
    <t>dberrio@cardique.gov.co</t>
  </si>
  <si>
    <t>Sandra Nieto</t>
  </si>
  <si>
    <t>snieto@cardique.gov.co</t>
  </si>
  <si>
    <t>Secretaría General</t>
  </si>
  <si>
    <t>Hellman Soto Martínez</t>
  </si>
  <si>
    <t>Secretario General</t>
  </si>
  <si>
    <t>secretariageneral@cardique.gov.co</t>
  </si>
  <si>
    <t>Oficina de control interno y procesos sancionatorios</t>
  </si>
  <si>
    <t>Subdirectora de Gestión Ambiental</t>
  </si>
  <si>
    <t>Asesoria y asistencia técnica</t>
  </si>
  <si>
    <t>Edwin Molina Muñoz</t>
  </si>
  <si>
    <t>emolina@cardique.gov.co</t>
  </si>
  <si>
    <t>Turbaco</t>
  </si>
  <si>
    <t>Turbana</t>
  </si>
  <si>
    <t>Arjona</t>
  </si>
  <si>
    <t>Pasacaballos</t>
  </si>
  <si>
    <t>Diana Rodríguez Ribón</t>
  </si>
  <si>
    <t>drodriguez@cardique.gov.co</t>
  </si>
  <si>
    <t>8.1. Gestión a proyectos ambientales</t>
  </si>
  <si>
    <t>8.2. Construcción de una cultura ambiental</t>
  </si>
  <si>
    <t>8.3.  Comunicación para el desarrollo sostenible</t>
  </si>
  <si>
    <t>Adriana Elles</t>
  </si>
  <si>
    <t>Auxiliar administrativo</t>
  </si>
  <si>
    <t>aelles@cardique.gov.co</t>
  </si>
  <si>
    <t>todos los municipios de la jurisdicción</t>
  </si>
  <si>
    <t>I. Línea Estratégica: Gestión Integral de Recurso Hidrico</t>
  </si>
  <si>
    <t>Proyecto No 1.1. Gestión integral de aguas continentales superficiales</t>
  </si>
  <si>
    <t>Red de monitoreo, contrato firmado con K2, apunta a una red integral de monitoreo de agua, aire y ruido.</t>
  </si>
  <si>
    <t>1.2. Recuperación y conservación del parque natural distrital Ciénaga de la Virgen</t>
  </si>
  <si>
    <t>1.3. Gestión integral de aguas subterráneas</t>
  </si>
  <si>
    <t>1.4. Gestión integral de aguas marino-costeras</t>
  </si>
  <si>
    <t>II. Línea Estratégica: Biodiversidad y Servicios Ecosistémicos</t>
  </si>
  <si>
    <t>PROGRAMA No 2. Gestión de incentivos y pagos por servicios ambientales para la conservación de recursos naturales</t>
  </si>
  <si>
    <t>2.1. Formulación e Implementación del esquema de incentivos y pagos por servicios ambientales</t>
  </si>
  <si>
    <t>PROGRAMA No 3.Gestión integral de la biodiversidad</t>
  </si>
  <si>
    <t>3.1. Gestión integral de la flora silvestre y sus servicios ecosistémicos</t>
  </si>
  <si>
    <t>3.2. Gestión integral de la fauna silvestre</t>
  </si>
  <si>
    <t>PROGRAMA No 4.  Desarrollo productivo sostenible y negocios verdes</t>
  </si>
  <si>
    <t>4.1. Impulso a proyectos productivos ambientales, negocios verdes y cadenas de valor</t>
  </si>
  <si>
    <t>III. Línea Estratégica: Calidad Ambiental</t>
  </si>
  <si>
    <t>PROGRAMA No 5. Mejoramiento de la gestión de residuos y saneamiento básico</t>
  </si>
  <si>
    <t>5.1. Gestión integral de residuos domésticos y productivos</t>
  </si>
  <si>
    <t>PROGRAMA No 6. Mejoramiento de la calidad atmosférica</t>
  </si>
  <si>
    <t>6.1 Diseño e implementación del sistema de vigilancia de calidad del aire</t>
  </si>
  <si>
    <t>IV. Línea Estratégica: Cambio Climático y Gestión del Riesgo</t>
  </si>
  <si>
    <t>7.1. Gestión integral del riesgo y cambio climático</t>
  </si>
  <si>
    <t>7.2. Seguimiento y control de las actividades productivas y empresariales  para la mitigación del cambio climático</t>
  </si>
  <si>
    <t>V. Línea Estratégica: Gobernanza</t>
  </si>
  <si>
    <t>PROGRAMA No 8. Fomento a la educación, participación y cultura ambiental</t>
  </si>
  <si>
    <t>9.1. Planificación y ordenamiento para el desarrollo sostenible</t>
  </si>
  <si>
    <t>9.2. Fortalecimiento del laboratorio de calidad ambiental</t>
  </si>
  <si>
    <t>9.3. Fortalecimiento de las capacidades institucionales</t>
  </si>
  <si>
    <t xml:space="preserve">9.4 Estrategias ambientales para el fortalecimiento de las poblaciones étnicas </t>
  </si>
  <si>
    <t>CORPORACIÓN AUTÓMA REGIONAL DE 2021</t>
  </si>
  <si>
    <t>Programa Gestion Integral Recursos Hidricos</t>
  </si>
  <si>
    <t>Subprograma Gestion Integral de los Recursos Hidricos 1.1</t>
  </si>
  <si>
    <t>Proyecto 1.1.1</t>
  </si>
  <si>
    <t>Gestion Integral de Aguas Continentales Superfiales</t>
  </si>
  <si>
    <t>Recuperacion y Conservacion del Parque Natural Distrital Cienaga de la Virgen</t>
  </si>
  <si>
    <t>Gestion Integral de Aguas Subterraneas</t>
  </si>
  <si>
    <t>Gestion Integral de Aguas Marinocosteras</t>
  </si>
  <si>
    <t>Programa Biodiversidad y Servicios Ecocistemicos</t>
  </si>
  <si>
    <t>Subprograma Gestion de Incentivos y Pagos por servicios ambientales para la conservacion de Recursos Naturales  2.1</t>
  </si>
  <si>
    <t>Proyecto 2.1.1</t>
  </si>
  <si>
    <t>Formulacion e Implemantacion del esquema del incentivos por pago de servicios ambientales</t>
  </si>
  <si>
    <t>Subprograma Gestion Integral de la Biodiversidad 2.1.2</t>
  </si>
  <si>
    <t>Proyecto 2.1.2</t>
  </si>
  <si>
    <t>Gestion Integral de la Flora Silvestre y sus servicios ecocistemico</t>
  </si>
  <si>
    <t>Gestion Integral de la Faula Silvestre</t>
  </si>
  <si>
    <t>Subprograma Desarrollo Productivo sostenible y de negocios verdes  2.1.3</t>
  </si>
  <si>
    <t>Proyecto 2.1.3</t>
  </si>
  <si>
    <t>Impulso a proyectos productivos sostenibles, Negocios verdes y Cadena de valor</t>
  </si>
  <si>
    <t>Programa Calidad Ambiental</t>
  </si>
  <si>
    <t>Subprograma Mejoramiento de la Gestion de Residuos y Sanamiento Basico  3.1</t>
  </si>
  <si>
    <t>Proyecto 3.1</t>
  </si>
  <si>
    <t>Gestion Integral de Residuos Domesticos y Productivos</t>
  </si>
  <si>
    <t xml:space="preserve">Subprograma Mejoramiento de la Calidad Atmosferica </t>
  </si>
  <si>
    <t>Proyecto 3.2</t>
  </si>
  <si>
    <t>Diseño e implementacion del sistema de vigilancia de Calidad del Aire</t>
  </si>
  <si>
    <t>Programa Cambio Climatico y Gestion del Riesgo</t>
  </si>
  <si>
    <t>Subprograma Planificacion Territorial sostenible y resiliente   4.1</t>
  </si>
  <si>
    <t>Proyecto 4.1</t>
  </si>
  <si>
    <t>Gestion Integral del Riesgo y Cambio Climatico</t>
  </si>
  <si>
    <t>Proyecto 4.2</t>
  </si>
  <si>
    <t>Seguimiento y Control de las actividades Productivas y empresariales para la mitigacion del cambio climatico</t>
  </si>
  <si>
    <t>Programa -Gobernanza</t>
  </si>
  <si>
    <t>Subprograma Fomento a la Educacion, participacion y Cultura Ambiental   5,1</t>
  </si>
  <si>
    <t>Proyecto 5,1,1</t>
  </si>
  <si>
    <t>Gestion a Proyectos Ambientales</t>
  </si>
  <si>
    <t>Proyecto 5,1,2</t>
  </si>
  <si>
    <t>Construccion de una Cultura Ambiental</t>
  </si>
  <si>
    <t>Proyecto  5,1,3</t>
  </si>
  <si>
    <t>Comunicación para el Desarrollo Sostenible</t>
  </si>
  <si>
    <t>Subprograma Fortalecimiento Institucional y del SINA   5,2</t>
  </si>
  <si>
    <t>Proyecto 5,2,1</t>
  </si>
  <si>
    <t>Planificacion  y ordenamiento para el desarrollo Sostenible</t>
  </si>
  <si>
    <t>Proyecto 5,2.2</t>
  </si>
  <si>
    <t>Fortalecimiento del laboratorio de Calidad Ambiental</t>
  </si>
  <si>
    <t>Proyecto 5,2.3</t>
  </si>
  <si>
    <t>Fortalecimiento de las Capacidades Institucionales</t>
  </si>
  <si>
    <t>Proyecto  5,.2.4</t>
  </si>
  <si>
    <t>estrategias Ambientales para el Fortalecimiento de las Poblaciones Etnicas</t>
  </si>
  <si>
    <t>En proceso de contrtación</t>
  </si>
  <si>
    <t>Se cuenta con inventario de fuentes fijas.</t>
  </si>
  <si>
    <t>2020, vigencias futuras</t>
  </si>
  <si>
    <t>Socialización y proceso de contratación determinantes ambientales rurales. Contrato # 146 de 2021.</t>
  </si>
  <si>
    <t>Impulso a proyectos productivos ambientales, negocios verdes y cadenas de valor</t>
  </si>
  <si>
    <t>Negocios verdes</t>
  </si>
  <si>
    <t>TOTAL PRESUPUESTO DE GASTOS</t>
  </si>
  <si>
    <t>Programa No 1A. Gestión integral de los recursos hídricos</t>
  </si>
  <si>
    <t>Programa No 1B. Gestión integral de los recursos hídricos</t>
  </si>
  <si>
    <t>PROGRAMA No 7A. Planificación territorial sostenible y resiliente</t>
  </si>
  <si>
    <t>PROGRAMA No 7B. Planificación territorial sostenible y resiliente</t>
  </si>
  <si>
    <t>PROGRAMA No 9A. Fortalecimiento institucional y del SINA</t>
  </si>
  <si>
    <t>PROGRAMA No 9B. Fortalecimiento institucional y del SINA</t>
  </si>
  <si>
    <t>PROGRAMA No 9C. Fortalecimiento institucional y del SINA</t>
  </si>
  <si>
    <t>PROGRAMA No 9D. Fortalecimiento institucional y del SINA</t>
  </si>
  <si>
    <t>Servicios prestados a empresas y servicios de producción</t>
  </si>
  <si>
    <t>Recuperación de cartera</t>
  </si>
  <si>
    <t>Desarrollo de programa de conservación de la fauna silvestre (caimán cocodrylus acutus o caimán del magdalena, hicotea, manatí, etc.)</t>
  </si>
  <si>
    <r>
      <t xml:space="preserve">(1) </t>
    </r>
    <r>
      <rPr>
        <b/>
        <sz val="10"/>
        <color rgb="FFFF0000"/>
        <rFont val="Arial Narrow"/>
        <family val="2"/>
      </rPr>
      <t>LINEAS ESTRATEGICAS</t>
    </r>
    <r>
      <rPr>
        <b/>
        <sz val="10"/>
        <rFont val="Arial Narrow"/>
        <family val="2"/>
      </rPr>
      <t xml:space="preserve"> -
PROGRAMAS - PROYECTOS </t>
    </r>
    <r>
      <rPr>
        <b/>
        <sz val="10"/>
        <color rgb="FFFF0000"/>
        <rFont val="Arial Narrow"/>
        <family val="2"/>
      </rPr>
      <t>Y ACTIVIDADES</t>
    </r>
    <r>
      <rPr>
        <b/>
        <sz val="10"/>
        <rFont val="Arial Narrow"/>
        <family val="2"/>
      </rPr>
      <t xml:space="preserve"> DEL PLAN DE ACCIÓN 2020-2023
(inserte filas cuando sea necesario)
</t>
    </r>
  </si>
  <si>
    <t>(25)
OBSERVACIONES</t>
  </si>
  <si>
    <t>(26)
PROGRAMA DE INVERSIÓN PUBLICA A LA QUE APORTA</t>
  </si>
  <si>
    <t>(27)
IMG AL QUE  APORTA</t>
  </si>
  <si>
    <r>
      <t xml:space="preserve">(28)
</t>
    </r>
    <r>
      <rPr>
        <b/>
        <sz val="10"/>
        <color rgb="FFFF0000"/>
        <rFont val="Arial Narrow"/>
        <family val="2"/>
      </rPr>
      <t>INDICADOR</t>
    </r>
    <r>
      <rPr>
        <b/>
        <sz val="10"/>
        <color indexed="8"/>
        <rFont val="Arial Narrow"/>
        <family val="2"/>
      </rPr>
      <t xml:space="preserve"> ODS AL QUE LE APORTA</t>
    </r>
  </si>
  <si>
    <t>COD. FUENTE</t>
  </si>
  <si>
    <t>SCRIP</t>
  </si>
  <si>
    <t xml:space="preserve">   (2) UNIDAD DE MEDIDA</t>
  </si>
  <si>
    <t>(3)META FISICA ANUAL
 (Según unidad de medida)</t>
  </si>
  <si>
    <t>(4)
AVANCE DE LA META
FISICA  
(Según unidad de medida y Periodo Evaluado)</t>
  </si>
  <si>
    <t>(4A)
AVANCE DEL REZAGO DE LA META
FISICA 
(Según unidad de medida y Periodo Evaluado)</t>
  </si>
  <si>
    <t xml:space="preserve">(6) FECHA DE EJECUCION DE  LA EVIDENCIA </t>
  </si>
  <si>
    <t>(9)
PORCENTAJE DE AVANCE PROCESO DE GESTION DE LA META
FISICA
(aplica unicamente para el informe del primer semestre)</t>
  </si>
  <si>
    <t xml:space="preserve"> (10) META FISICA DEL PLAN (Según unidad de medida)</t>
  </si>
  <si>
    <t>(11) ACUMULADO DE LA META FISICA (Según unidad de medida)</t>
  </si>
  <si>
    <t>(12) PORCENTAJE DE AVANCE FISICO ACUMULADO % 
((11/10)*100)</t>
  </si>
  <si>
    <r>
      <t>(13)               PONDERACIONES DE PROGRAMAS, PROYECTOS</t>
    </r>
    <r>
      <rPr>
        <b/>
        <sz val="8"/>
        <color rgb="FFFF0000"/>
        <rFont val="Arial Narrow"/>
        <family val="2"/>
      </rPr>
      <t xml:space="preserve"> Y ACTIVIDADES</t>
    </r>
  </si>
  <si>
    <t xml:space="preserve">(14) PONDERACIONES DE PROGRAMAS  Y PROYECTOS VIGENCIA 2021 </t>
  </si>
  <si>
    <t>(16) AVANCE DE LA META FINANCIERA (Recursos comprometidos periodo Evaluado) ($)</t>
  </si>
  <si>
    <t>(17)  PORCENTAJE DEL AVANCE FINANCIERO % (Periodo Evaluado) 
((12/11)*100)</t>
  </si>
  <si>
    <t>(19) PORCENTAJE DE AVANCE DE LOS RECURSOS OBLIGADOS ((18/16)*100)</t>
  </si>
  <si>
    <t>(20) RESERVA PRESUPUESTAL $
(16-18)</t>
  </si>
  <si>
    <t>(21-B) PORCENTAJE DE AVANCE EJECUCIÓN DE LA RESERVA $
(21-A/21)</t>
  </si>
  <si>
    <t>(22)                                         META FINANCIERA   DEL PLAN             ($)</t>
  </si>
  <si>
    <t xml:space="preserve">(23) AVANCE 
ACUMULADO DE LA META
FINANCIERA
$
</t>
  </si>
  <si>
    <t xml:space="preserve">(24)
PORCENTAJE DE  AVANCE FINANCIERO ACUMULADO %
((23/22)*100)
</t>
  </si>
  <si>
    <t>Actividad 1.1.1. Realización de trabajos necesarios para la restauración hidrodinámica de canales pluviales y cauces de arroyo de la jurisdicción.</t>
  </si>
  <si>
    <t>Cuerpos de agua intervenidos</t>
  </si>
  <si>
    <t>144~Porcentaje del cambio en la extensión de los ecosistemas relacionados con el agua a lo largo del tiempo</t>
  </si>
  <si>
    <t>Actividad 1.1.2. Realización de trabajos necesarios para la restauración hidrodinámica de reservorios, ciénagas y humedales de la jurisdicción.</t>
  </si>
  <si>
    <t>Actividad 1.1.3. Apoyo a las propuestas en la implementación de acciones en el marco de la estrategia "Fondo del Agua"</t>
  </si>
  <si>
    <t>Acciones apoyadas</t>
  </si>
  <si>
    <t>1~No aplica</t>
  </si>
  <si>
    <t>Actividad 1.1.4. Toma de muestras para análisis, seguimiento y monitoreo de cuerpos de agua de la jurisdicción (continentales, subterráneos y marinos), para la toma de decisiones</t>
  </si>
  <si>
    <t>Cuerpos de agua de la jurisdicción analizados</t>
  </si>
  <si>
    <t>Actividad 1.1 5. Diseño y montaje de la red de monitoreo de agua</t>
  </si>
  <si>
    <t>Avance de implementación de la red de monitoreo</t>
  </si>
  <si>
    <t>Actividad1.1.6. Desarrollo e implementación de una estrategia para la recuperación ambiental de humedales</t>
  </si>
  <si>
    <t>Plan realizado</t>
  </si>
  <si>
    <t>Actividad 1.2.1. Mejoramiento hidráulico y/o mantenimiento para el saneamiento ambiental de los arroyos y canales que vierten hacia la Ciénaga de la Virgen</t>
  </si>
  <si>
    <t xml:space="preserve">Actividad 1.2.2. Implementación de acciones priorizadas del instrumento de planificación de acotamiento de la ronda hídrica  </t>
  </si>
  <si>
    <t>Acciones de recuperación realizadas</t>
  </si>
  <si>
    <t>35~Grado de aplicación de la ordenación integrada de los recursos hídricos (0-100)</t>
  </si>
  <si>
    <t>Actividad 1.2.3. Apoyo a proyectos socio productivos para la generación de ingresos de las comunidades, con énfasis en educación ambiental</t>
  </si>
  <si>
    <t>Proyectos apoyados</t>
  </si>
  <si>
    <t>Actividad 1.3.1. Identificación, análisis, caracterización de la vulnerabilidad  y aprovechamiento sostenible de acuíferos en las Islas, que permitan su adecuado abastecimiento de agua para consumo humano</t>
  </si>
  <si>
    <t>Acuíferos estudiados</t>
  </si>
  <si>
    <t>64~Nivel de estrés hídrico: extracción de agua dulce como proporción de los recursos de agua dulce disponibles</t>
  </si>
  <si>
    <t>Actividad 1.3.2. Identificación, análisis, caracterización de la vulnerabilidad  y aprovechamiento sostenible de acuíferos de los municipios de la jurisdicción para conocer el potencial y administrar sosteniblemente el recurso</t>
  </si>
  <si>
    <t>Actividad 1.4.1. Formulación e implementación del Plan de Ordenamiento y Manejo Integrado de la Unidad Ambiental Costera - POMIUAC-RIO MAGDALENA. (Decreto 1120-2013). Fase: Continuación del proceso de formulación y adopción. Etapa: Consulta Previa, Estrategia de participación social</t>
  </si>
  <si>
    <t>POMIUAC formulado (Fase)</t>
  </si>
  <si>
    <t>84~Número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</si>
  <si>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Actividad 1.4.2 Formulación e implementación del Plan de Ordenamiento y Manejo Integrado de la Unidad Ambiental Costera - POMIUAC-ESTUARINA DEL RIO SINU Y EL GOLFO DE MORROSQUILLO. Fase: Continuación del proceso de formulación y adopción. Etapa: Consulta Previa, Estrategia de participación social</t>
  </si>
  <si>
    <t>Actividad 1.4.3. Realizacion de acciones para la resiliencia en la bahía de Cartagena</t>
  </si>
  <si>
    <t>Acciones ejecutadas</t>
  </si>
  <si>
    <t>Actividad 1.4.4. Control y seguimiento a la calidad del agua en la zona insular</t>
  </si>
  <si>
    <t>Seguimientos realizados a POA autorizados</t>
  </si>
  <si>
    <t>Actividad 1.4.5.  Apoyo a estrategias de visibilización de arrecifes para su estudio y/o conservación</t>
  </si>
  <si>
    <t>Modelo realizado</t>
  </si>
  <si>
    <t>Actividad 2.1.1. Diseño e implementación del modelo jurídico, financiero, administrativo y operativo de incentivos  y pagos por servicios ambientales</t>
  </si>
  <si>
    <t>57~La asistencia oficial para el desarrollo y el gasto público en la conservación y el uso sostenible de la diversidad biológica y los ecosistemas</t>
  </si>
  <si>
    <t>Actividad 2.1.2 Realización de estudio de focalización de áreas y ecosistemas y priorización de predios para la implementación del esquema de Incentivos y pagos por servicios ambientales</t>
  </si>
  <si>
    <t>Estudio realizado</t>
  </si>
  <si>
    <t>Actividad 2.1.3 Apoyo a proyectos de incentivos y pagos por servicios ambientales para la conservación de los recursos naturales</t>
  </si>
  <si>
    <t>Proyectos ejecutados</t>
  </si>
  <si>
    <t>Actividad 3.1.1. Actualización de la zonificación de manglar y formulación de los lineamientos integrados de manejo</t>
  </si>
  <si>
    <t>Actualización y/o formulación realizados</t>
  </si>
  <si>
    <t>Actividad 3.1.2. Implementación de la zonificación de manglar</t>
  </si>
  <si>
    <t>Implementación realizada</t>
  </si>
  <si>
    <t xml:space="preserve">Actividad 3.1.3. Restauración de ecosistemas de manglar </t>
  </si>
  <si>
    <t>Restauración realizada</t>
  </si>
  <si>
    <t>Actividad 3.1.4. Restauración de ecosistemas de Bosque Seco Tropical – BsT (Rondas hídricas, zonas de recarga de acuíferos, nacederos de agua, corredores de conectividad sociecosistémicos, áreas prioritarias para la restauración y áreas estratégicas para la conservación del recurso hídrico)</t>
  </si>
  <si>
    <t>39~Hacia la ordenación forestal sostenible</t>
  </si>
  <si>
    <t>Actividad 3.1.5. Restauración de bosques con especies nativas que favorezcan la polinización</t>
  </si>
  <si>
    <t>Actividad 3.1.6. Diseño, estudios, construcción, implementación y funcionamiento del Centro de Atención y Valoración de Fauna Silvestre y Flora – CAVFFS</t>
  </si>
  <si>
    <t>Etapas desarrolladas</t>
  </si>
  <si>
    <t>174~Proporción de la vida silvestre que fue cazado furtivamente u objeto de tráfico ilícito</t>
  </si>
  <si>
    <t xml:space="preserve">Actividad 3.1.7. Proyecto de reforestacion y mantenimiento en areas urbanas y rurales con especies nativas </t>
  </si>
  <si>
    <t>Árbol establecido</t>
  </si>
  <si>
    <t>207~Superficie forestal como porcentaje de la superficie total</t>
  </si>
  <si>
    <t>Actividad 3.1.8. Construcción y puesta en funcionamiento de viveros comunitarios para la reproducción de especies en categoría de amenaza y restauración de ecosistemas prioritarios</t>
  </si>
  <si>
    <t>Viveros construidos</t>
  </si>
  <si>
    <t xml:space="preserve">Actividad 3.2.1. Realización de acciones para el manejo y control sobre las especies invasoras </t>
  </si>
  <si>
    <t>Acción realizada</t>
  </si>
  <si>
    <t>184~Proporción de países que adoptan legislación nacional relevante y adecuadamente dotan de recursos a la prevención o control de especies exóticas invasoras</t>
  </si>
  <si>
    <t>Actividad 3.2.2. Elaboración de diagnóstico de especies que provocan zoonosis (murciélago) y accidentes ofídicos (serpientes venenosas)</t>
  </si>
  <si>
    <t>Diagnóstico elaborado</t>
  </si>
  <si>
    <t>Actividad 3.2.3. Control y manejo del tráfico y consumo de carne de especies silvestres</t>
  </si>
  <si>
    <t>Operativos apoyados</t>
  </si>
  <si>
    <t>192~Proporción del comercio detectado en fauna y flora silvestres, y sus productos, que es ilegal</t>
  </si>
  <si>
    <t>Actividad 3.2.4. Apoyo en la elaboración e implementación de un protocolo para la conservación de la tortuga marina</t>
  </si>
  <si>
    <t>Protocolo elaborado</t>
  </si>
  <si>
    <t>Actividad 3.2.5. Identificación y apoyo de estrategias de conservación comunitaria</t>
  </si>
  <si>
    <t>Estrategias apoyadas</t>
  </si>
  <si>
    <t>Actividad 3.2.6. Desarrollo de programa de conservación de la fauna silvestre (caimán cocodrylus acutus o caimán del magdalena, hicotea, manatí, etc.)</t>
  </si>
  <si>
    <t>Programa desarrollado</t>
  </si>
  <si>
    <t>Actividad 4.1.1. Asesoría a los sectores productivos en buenas prácticas</t>
  </si>
  <si>
    <t>Verificaciones y/o seguimientos realizados</t>
  </si>
  <si>
    <t>Actividad 4.1.2. Implementación del programa de la interiorización de las políticas de consumo y producción sostenible y la gestión de la biodiversidad y sus servicios ecosistémicos, en las empresas enmarcadas con programas y proyectos de negocios verdes o biocomercio</t>
  </si>
  <si>
    <t>Visita de acompañamiento realizadas</t>
  </si>
  <si>
    <t>78~Número de países con planes de acción nacionales de consumo y producción sostenibles incorporados como prioridad o meta en las políticas nacionales</t>
  </si>
  <si>
    <t>Actividad 4.1.3. Fortalecimiento la ventanilla de negocios verdes para el fomento de buenas prácticas</t>
  </si>
  <si>
    <t>Equipo fortalecido</t>
  </si>
  <si>
    <t>Actividad 4.1.4. Acompañamiento en el diseño, planeación e implementación de Sello Verde</t>
  </si>
  <si>
    <t>Negocios asesorados</t>
  </si>
  <si>
    <t>Actividad 4.1.5. Realización de ferias y eventos que promocionen los productos y servicios en el marco de los negocios verdes</t>
  </si>
  <si>
    <t>Evento realizado</t>
  </si>
  <si>
    <t>Actividad 4.1.6. Ejecución de un proyecto para fortalecer la ventanilla de negocios verdes</t>
  </si>
  <si>
    <t>Proyecto piloto realizado</t>
  </si>
  <si>
    <t>Actividad 4.1.7. Impulso a proyectos de gestión ambiental en el sector agropecuario con énfasis en seguridad alimentaria</t>
  </si>
  <si>
    <t>Número de proyectos impulsados</t>
  </si>
  <si>
    <t>Actividad 5.1.1. Asesoría a entes territoriales en la normatividad ambiental aplicable a la gestión integral de residuos sólidos, implementación de los PGIRS y adopción e implementación del comparendo ambiental. (Ley 1259 de 2008 y Decretos único 1076 y 1077 de 2015)</t>
  </si>
  <si>
    <t>Número de PGIRS asesorados y/o seguimiento</t>
  </si>
  <si>
    <t>Actividad 5.1.2. Implementación de estrategias de comunicación y procesos de formación para el manejo de residuos sólidos peligrosos y adecuada separación en la fuente</t>
  </si>
  <si>
    <t>Estrategia implementada</t>
  </si>
  <si>
    <t>201~Residuos peligrosos generados per cápita, proporción de residuos peligrosos tratados y por tipo de tratamiento</t>
  </si>
  <si>
    <t>Actividad 5.1.3. Fortalecimiento al aprovechamiento, valorización de residuos sólidos y acompañamiento a recicladores</t>
  </si>
  <si>
    <t>Número de unidades productivas o empresas beneficiadas</t>
  </si>
  <si>
    <t>222~Tasa nacional de reciclado, toneladas de material reciclado</t>
  </si>
  <si>
    <t>Actividad 5.1.4. Formulación e implementación de la estrategia de economía circular, como elemento de competitividad y sostenibilidad para los municipios de la jurisdicción</t>
  </si>
  <si>
    <t>Actividad 5.1.5. Sensibilización y fomento del aprovechamiento de los residuos sólidos en los municipios de la jurisdicción. (Foro regional, celebración día del de reciclaje, capacitaciones, jornadas de limpieza)</t>
  </si>
  <si>
    <t>Campañas realizadas</t>
  </si>
  <si>
    <t>Actividad 5.1.6. Seguimiento a las metas de aprovechamiento establecidas en los PGIRS de los municipios de la jurisdicción</t>
  </si>
  <si>
    <t>Seguimiento a PGIRS municipales</t>
  </si>
  <si>
    <t>Actividad 5.1.7. Seguimiento a los Planes de Saneamiento y Manejo de Vertimientos (PSMV) del distrito de Cartagena y los 20 municipios de la jurisdicción</t>
  </si>
  <si>
    <t>Seguimiento a PSMV municipales</t>
  </si>
  <si>
    <t>103~Porcentaje de aguas residuales tratadas de manera segura</t>
  </si>
  <si>
    <t>Actividad 6.1.1. Diseño y montaje de la red de monitoreo de aire</t>
  </si>
  <si>
    <t>Diseño realizado</t>
  </si>
  <si>
    <t>65~Niveles medios anuales de partículas finas (por ejemplo, PM2.5 y PM10) en las ciudades (ponderados según la población)</t>
  </si>
  <si>
    <t>Actividad 6.1.2. Actualización del Inventario de fuentes fijas y móviles</t>
  </si>
  <si>
    <t>Inventario actualizado</t>
  </si>
  <si>
    <t>Actividad 6.1.3. Realización de campaña de monitoreo en puntos seleccionados</t>
  </si>
  <si>
    <t>Actividad 6.1.4. Operación del sistema de vigilancia de calidad del aire</t>
  </si>
  <si>
    <t>Sistema en funcionamiento</t>
  </si>
  <si>
    <t xml:space="preserve">Actividad 7.1.1. Desarrollo de proyectos productivos sostenibles por una ganadería con buenas prácticas (sistemas silvopastoriles) </t>
  </si>
  <si>
    <t>Área intervenida (ha)</t>
  </si>
  <si>
    <t>Actividad 7.1.2. Desarrollo de proyectos de instalación de estufas ecológicas asociados a cultivos dendroenergéticos (bancos de leña)</t>
  </si>
  <si>
    <t>Actividad 7.1.3. Desarrollo de un programa de uso eficiente del recurso hídrico en el marco de la adaptación al cambio climático</t>
  </si>
  <si>
    <t>9~Cambio en la eficiencia del uso del agua con el tiempo</t>
  </si>
  <si>
    <t>Actividad 7.1.4. Implementar la estrategia nacional de educación, formación y sensibilización a públicos sobre cambio climático</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</si>
  <si>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</si>
  <si>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Actividad 7.1.5. Desarrollo de proyectos de energías renovables en el sector agropecuario</t>
  </si>
  <si>
    <t>Proyectos realizados</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</si>
  <si>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</si>
  <si>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Actividad 7.1.6.  Socialización de la tercera comunicación nacional sobre cambio climático y el uso de herramientas para la acción climática</t>
  </si>
  <si>
    <t>Actividades de socialización realizadas</t>
  </si>
  <si>
    <t>Actividad 7.1.7. Formulación e implementación de proyectos de actividad ecoturística y capacidad de carga en las áreas identificadas, frente a la gestión del riesgo y cambio climático</t>
  </si>
  <si>
    <t>Municipios beneficiados</t>
  </si>
  <si>
    <t>70~Número de estrategias sostenibles de turismo o políticas y planes de acción implementados, con un seguimiento acordado, y herramientas de evaluación.</t>
  </si>
  <si>
    <t>Actividad 7.1.8. Instalación de estaciones meteorológicas para sistemas de alertas tempranas</t>
  </si>
  <si>
    <t>Estaciones instaladas</t>
  </si>
  <si>
    <t>75~Número de países con estrategias nacionales y locales para la reducción del riesgo de desastres</t>
  </si>
  <si>
    <t>Actividad 7.1.9. Realización de diagnóstico de los problemas del recurso suelo en la jurisdicción, en el marco de la política de gestión integrada ambiental del suelo</t>
  </si>
  <si>
    <t>Diagnóstico realizado</t>
  </si>
  <si>
    <t>Actividad 7.1.10. Acotamiento y delimitación de la ronda hídrica de los cuerpos de agua priorizados</t>
  </si>
  <si>
    <t>Acotamientos realizados</t>
  </si>
  <si>
    <t>35~ Grado de aplicación de la ordenación integrada de los recursos hídricos (0-100)</t>
  </si>
  <si>
    <t>Actividad 7.1.11. Proyecto de resiliencia a fenómenos de sequía en municipios de la jurisdicción</t>
  </si>
  <si>
    <t>Actividad 7.2.1. Promoción del uso de equipos de refrigeración que no utilicen sustancias agotadoras de ozono (SAO), para la reducción de emisiones de gases de efecto invernadero y huella de carbono</t>
  </si>
  <si>
    <t>Promociones realizadas</t>
  </si>
  <si>
    <t>25~Emisiones de CO2 por unidad de valor agregado</t>
  </si>
  <si>
    <t>Actividad 7.2.2. Desarrollo de proyecto de articulación con sectores productivos  para el manejo, tratamiento y disposición final de residuos peligrosos (RESPEL)</t>
  </si>
  <si>
    <t>Proyectos desarrollados</t>
  </si>
  <si>
    <t>Actividad 7.2.3.  Implementación de una estrategia de comunicación y educación ambiental para el manejo adecuado de residuos peligrosos (RESPEL)</t>
  </si>
  <si>
    <t>Actividad 7.2.4. Capacitación y sensibilización sobre  residuos de aparatos eléctricos y electrónicos (RAEE), gestión de llantas usadas y posconsumo de fármacos parcialmente vencidos y agroquímicos</t>
  </si>
  <si>
    <t>Programa de capacitación ejecutado</t>
  </si>
  <si>
    <t>Actividad 7.2.5. Capacitación y sensibilizacion en el manejo integral residuos de construcción y demolición</t>
  </si>
  <si>
    <t>Actividad 8.1.1 Asesoría y seguimiento de los planes de educación ambiental  municipal y acompañamiento a los comités técnicos Interinstitucionales  de educación ambiental municipal (CIDEA)</t>
  </si>
  <si>
    <t>CIDEAS municipales conformados y funcionando</t>
  </si>
  <si>
    <t>Actividad 8.1.2. Incorporación de la educación ambiental en procesos de conservación de especies nativas de fauna y flora en estado de amenaza</t>
  </si>
  <si>
    <t>Actividad 8.1.3. Desarrollo de proyecto de conservación de especies sombrillas mediante estrategias de educación ambiental que contribuyan a la seguridad alimentaria desde la sostenibilidad ambiental</t>
  </si>
  <si>
    <t>Proyecto desarrollado</t>
  </si>
  <si>
    <t>Actividad 8.1.4. Creación y fortalecimiento de capacidades de organizaciones juveniles para la gestión ambiental local en la jurisdicción de Cardique</t>
  </si>
  <si>
    <t>Organizaciones juveniles conformadas</t>
  </si>
  <si>
    <t>Actividad 8.1.5.  Desarrollo de un programa de educación ambiental con énfasis en la conservación del bosque seco tropical, en los municipios de la jurisdicción</t>
  </si>
  <si>
    <t>Actividad 8.1.6. Promoción y celebración de eventos y conmemoración de fechas del calendario ambiental</t>
  </si>
  <si>
    <t>Eventos realizados</t>
  </si>
  <si>
    <t>Actividad 8.1.7. Incorporación del componente de educación ambiental en proyectos ciudadanos y comunitarios de educación ambiental (PROCEDA)</t>
  </si>
  <si>
    <t>PROCEDA apoyados</t>
  </si>
  <si>
    <t>Actividad 8.2.1. Acompañamiento en la implementación de proyectos ambientales escolares (PRAE) en el territorio</t>
  </si>
  <si>
    <t>PRAE apoyados</t>
  </si>
  <si>
    <t>Actividad 8.2.2. Impulso a programas de formación de formadores para la gestión ambiental participativa con énfasis en la utilización de estrategias eco pedagógicas</t>
  </si>
  <si>
    <t>Actividad 8.2.3. Impulso a procesos de gestión ambiental participativa en las zonas insular y marino-costera de la jurisdicción</t>
  </si>
  <si>
    <t>Actividad 8.2.4. Fortalecimiento de los mecanismos y espacios de participación para la gestión integral del recurso hídrico</t>
  </si>
  <si>
    <t>Actividad 8.2.5. Incorporación de los componentes de investigación, ciencia y tecnología en las instituciones educativas, mediante la implementación de Proyectos Ambientales.</t>
  </si>
  <si>
    <t>Actividad 8.3.1. Desarrollo de la estrategia de Aulas de Educación Ambiental en los municipios de la jurisdicción</t>
  </si>
  <si>
    <t>Aulas ambientales funcionando</t>
  </si>
  <si>
    <t>Actividad 8.3.2. Producción, diseño y divulgación de piezas de comunicación para la gestión ambiental</t>
  </si>
  <si>
    <t>Piezas divulgadas</t>
  </si>
  <si>
    <t>Actividad 8.3.3. Desarrollo de herramientas de comunicación, divulgación y educación para la toma de decisiones y la promoción de cultura ambiental</t>
  </si>
  <si>
    <t>Herramientas implementadas</t>
  </si>
  <si>
    <t>Actividad 8.3.4. Asesoría para la formación y organización de colectivos de comunicación comunitaria para la gestión ambiental en la jurisdicción</t>
  </si>
  <si>
    <t>Asesorías realizadas</t>
  </si>
  <si>
    <t>Actividad 8.3.5. Realización de programas radiales, digitales y análogos con enfoque ambiental</t>
  </si>
  <si>
    <t>Programas realizados</t>
  </si>
  <si>
    <t>Actividad 8.3.6. Estructuración y funcionamiento del observatorio para la gestión ambiental</t>
  </si>
  <si>
    <t>Observatorio estructurado</t>
  </si>
  <si>
    <t>Actividad 9.1.1. Realización de asesoría, asistencia técnica, seguimiento y  capacitación para actores institucionales y comunitarios sobre revisión, modificación y ajuste de los POT.</t>
  </si>
  <si>
    <t>Municipios asesorados</t>
  </si>
  <si>
    <t>166~Proporción de la población que vive en ciudades que implementan planes de desarrollo urbano y regional integrando las proyecciones de población y las necesidades de recursos, por tamaño de la ciudad</t>
  </si>
  <si>
    <t>Actividad 9.1.2. Elaboración del POMCA arroyos que vierten al caribe norte</t>
  </si>
  <si>
    <t>Cuenca ordenada</t>
  </si>
  <si>
    <t>Actividad 9.1.3. Actualización de la determinantes ambientales de la jurisdicción</t>
  </si>
  <si>
    <t>Actualización realizada</t>
  </si>
  <si>
    <t>Actividad 9.2.1. Adquisición de insumos y materiales para funcionamiento del laboratorio (reactivos, vidriería, consumibles, etiquetas de muestreo)</t>
  </si>
  <si>
    <t>Adquisición realizada</t>
  </si>
  <si>
    <t>Actividad 9.2.2. Mantenimiento preventivo, correctivo, calibración, validación y/o calificación de equipos del laboratorio</t>
  </si>
  <si>
    <t>Mantenimiento realizado</t>
  </si>
  <si>
    <t>Actividad 9.2.3. Reposición y modernización de equipos del laboratorio</t>
  </si>
  <si>
    <t>Reposición realizado</t>
  </si>
  <si>
    <t>Actividad 9.2.4. Soporte y/o actualizacion de software del laboratorio</t>
  </si>
  <si>
    <t>Software adquirido</t>
  </si>
  <si>
    <t>Actividad 9.2.5. Adquisición de gases y mantenimiento de redes</t>
  </si>
  <si>
    <t>Actividad 9.2.6. Disposición de residuos peligrosos generados por el laboratorio</t>
  </si>
  <si>
    <t>Disposición adecuada realizada</t>
  </si>
  <si>
    <t xml:space="preserve">Actividad 9.2.7.  Mantenimiento de la acreditación del laboratorio en la norma ISO/IEC 17025 y de su autorización para realizar análisis fisicpquímos y microbiológicos en aguas para consumo humano
</t>
  </si>
  <si>
    <t>Actividad 9.3.1. Adecuaciones generales de la sede, puestos de trabajo y ampliaciones locativas.</t>
  </si>
  <si>
    <t>Avance proyecto de adecuación</t>
  </si>
  <si>
    <t>Actividad 9.3.2. Reposición y ampliación del parque automotor</t>
  </si>
  <si>
    <t>Reposición o ampliación realizada</t>
  </si>
  <si>
    <t>Actividad 9.3.3. Fortalecimiento de las capacidades del recurso humanos de la Corporación</t>
  </si>
  <si>
    <t>Planes formulados y ejecutados</t>
  </si>
  <si>
    <t>Actividad 9.3.4. Actualización, desarrollo y seguimiento de los Sistemas Integrados de Gestión</t>
  </si>
  <si>
    <t>Avances de los sistemas</t>
  </si>
  <si>
    <t>Actividad 9.3.5. Actualización, desarrollo y seguimiento del PETI (Plan Estratégico de Tecnologías de Información)</t>
  </si>
  <si>
    <t>Avance del PETI</t>
  </si>
  <si>
    <t>Actividad 9.3.6. Elaboración y/o actualización de Manual de Políticas y Regulación Ambiental Nacionales para la articulación con el Modelo Integrado de Planeación y Gestión con los instrumentos de planificación</t>
  </si>
  <si>
    <t>Integración de MIPG realizado</t>
  </si>
  <si>
    <t>Actividad 9.3.7. Fortalecimiento en la creación, diseño y diagramación de la nueva imagen corporativa y herramientas de comunicación</t>
  </si>
  <si>
    <t>Avance del proceso de fortalecimiento de imagen</t>
  </si>
  <si>
    <t>Actividad 9.3.8. Fortalecimiento técnico  a través de adquisición de equipos para medición de caudales en corrientes y calidad del agua</t>
  </si>
  <si>
    <t>Actividad 9.3.9. Fortalecimiento del sistema eléctrico de la corporación usando energías alternativas</t>
  </si>
  <si>
    <t>Trabajos de fortalecimiento eléctrico realizados</t>
  </si>
  <si>
    <t>161~Proporción de la energía renovable en el consumo final total de energía</t>
  </si>
  <si>
    <t>Actividad 9.3.10. Creación e implementación del Sistema de Información Ambiental de Cardique</t>
  </si>
  <si>
    <t>SIAC creado e implementado</t>
  </si>
  <si>
    <t>Actividad 9.3.11. Fortalecimiento del Sistema de Información Geográfica (SIG)</t>
  </si>
  <si>
    <t>SIG fortalecido</t>
  </si>
  <si>
    <t>Actividad 9.3.12. Adquisición de software para procesamiento digital de imágenes y  servicio de Información de imágenes satelitales Planet.com para el monitoreo ambiental en tiempo real de la jurisdicción</t>
  </si>
  <si>
    <t>Actividad 9.3.13. Fortalecimiento de la planificación ambiental regional  a través de la elaboración de estudios previos y formulación de planes y proyectos, conforme a las necesidades del territorio, la política y legislación ambiental</t>
  </si>
  <si>
    <t>Fortalecimiento realizado</t>
  </si>
  <si>
    <t>Actividad 9.3.14. Fortalecimiento del ejercicio de autoridad ambiental a través del Control y Seguimiento de licencias, permisos, autorizaciones, concesiones y demás instrumentos de control ambiental otorgadas y  por el servicio de evaluación de proyectos, obras y/o actividades objetos de esta clase de autorizaciones ambientales.</t>
  </si>
  <si>
    <t>Seguimiento realizados a POA autorizados</t>
  </si>
  <si>
    <t>Actividad 9.4.1. Asesoría y acompañamiento para el fortalecimiento organizativo de consejos comunitarios de comunidades negras, incorporando el componente ambiental</t>
  </si>
  <si>
    <t>Consejos comunitarios asesorados</t>
  </si>
  <si>
    <t>Actividad 9.4.2. Realización de acciones en el marco de la gestión integral de los recursos hídricos en las comunidades étnicas</t>
  </si>
  <si>
    <t>Acciones realizadas</t>
  </si>
  <si>
    <t>Actividad 9.4.3. Realización de acciones en el marco de la biodiversidad y servicios ecosistémicos en las comunidades  étnicas</t>
  </si>
  <si>
    <t>Actividad 9.4.4. Realización de acciones en el marco del mejoramiento de la calidad ambiental en las comunidades  étnicas</t>
  </si>
  <si>
    <t>Actividad 9.4.5. Realización de acciones en el marco de la gestion del riesgo y cambio climático en las comunidades  étnicas</t>
  </si>
  <si>
    <t>3207~7 Gestión integral de mares, costas y recursos acuáticos</t>
  </si>
  <si>
    <t>3201~1 Fortalecimiento del desempeño ambiental de los sectores productivos</t>
  </si>
  <si>
    <t>3204~4 Gestión de la información y el conocimiento ambiental</t>
  </si>
  <si>
    <t>3299~9 Fortalecimiento de la gestión y dirección del Sector Ambiente y Desarrollo Sostenible</t>
  </si>
  <si>
    <t>0~10 No aplica</t>
  </si>
  <si>
    <t>1206-01</t>
  </si>
  <si>
    <t>2502-2</t>
  </si>
  <si>
    <t>Aprobado</t>
  </si>
  <si>
    <t>Número de cuencas con POMCAS aprobados, bajo el nuevo marco normativo (Decreto 1076 de 2015) a 31 de diciembre de 2020:</t>
  </si>
  <si>
    <t>Procesos formales previos</t>
  </si>
  <si>
    <t>Acuerdo 2011-002</t>
  </si>
  <si>
    <t>Teniendo en cuenta la ubicación geográfica de la jurisdicción de la Corporación, la cual se encuentra en la parte baja de la desembocadura del río Magdalena, y su interacción con la zona marino-costera del caribe colombiano, se reporta que dentro de los ecosistemas presentes en su área de jurisdicción, no existen el ecosistema denominado "Páramo".</t>
  </si>
  <si>
    <t xml:space="preserve">La Corporación en materia de áreas protegidas está implementando, junto con otros actores institucionales, ONGs, Cooperación Internacional y Organizaciones Etnico-Campesinas, una estrategia de conectividad socio-ecosistémica que incluye Reservas Naturales de la Sociedad Civil (se han declarado 47 reservas que abarcan un área de 2680 ha), Acuerdos de Conservación (187 acuerdos con familias campesinas), Corredodres de Conectividad (corredorde conectividad San Juan - San Jacinto, 4993 ha, aprobado mediante Res. 0782 del 2019) y otras estrategias complementarias </t>
  </si>
  <si>
    <t>Gestion Integral de la Fauna Silvestre</t>
  </si>
  <si>
    <t>Restauración</t>
  </si>
  <si>
    <t xml:space="preserve">Realización de acciones para el manejo y control sobre las especies invasoras </t>
  </si>
  <si>
    <t xml:space="preserve">Caracol Gigante </t>
  </si>
  <si>
    <t>Marina</t>
  </si>
  <si>
    <t>Pez León</t>
  </si>
  <si>
    <t>Metas fisicas 100%</t>
  </si>
  <si>
    <t>(14) PONDERACIONES DE PROGRAMAS  Y PROYECTOS VIGENCIA 2022</t>
  </si>
  <si>
    <t>(15) META FINANCIERA ANUAL  ($) 2022</t>
  </si>
  <si>
    <t>(21) RESERVA PRESUPUESTAL DEL 2021
$</t>
  </si>
  <si>
    <t>(21-A) OBLIGACIONES DE LA RESERVA 2021
 $</t>
  </si>
  <si>
    <t xml:space="preserve">CONTRATAR LAS OBRAS DE MEJORAMIENTO HIDRÁULICO DE LOS CUERPOS DE AGUA DE LA ZONA NORTE DEL ÁREA DE LA JURISDICCIÓN DE CARDIQUE, EN DESARROLLO DEL PLAN DE ACCIÓN INSTITUCIONAL PARA EL AÑO 2022 - INTERVENTORÍA TÉCNICA, ADMINISTRATIVA, FINANCIERA, JURÍDICA, AMBIENTAL Y SISO PARA LAS OBRAS DE MEJORAMIENTO HIDRÁULICO DE LOS CUERPOS DE AGUA DE LA ZONA NORTE DEL ÁREA DE LA JURISDICCIÓN DE CARDIQUE,
</t>
  </si>
  <si>
    <t>En ejecución</t>
  </si>
  <si>
    <r>
      <t xml:space="preserve">LP-CARDIQUE-01-2022, CMA-CARDIQUE-002-2022 . </t>
    </r>
    <r>
      <rPr>
        <sz val="8"/>
        <color rgb="FFFF0000"/>
        <rFont val="Arial Narrow"/>
        <family val="2"/>
      </rPr>
      <t>CMA-CARDIQUE-009-2022</t>
    </r>
    <r>
      <rPr>
        <sz val="8"/>
        <rFont val="Arial Narrow"/>
        <family val="2"/>
      </rPr>
      <t xml:space="preserve">
</t>
    </r>
  </si>
  <si>
    <t xml:space="preserve">LP-CARDIQUE-01-2022, CMA-CARDIQUE-002-2022 </t>
  </si>
  <si>
    <t>Análisis, monitoreo y seguimiento permenente a cuerpos de agua</t>
  </si>
  <si>
    <t>functioning</t>
  </si>
  <si>
    <t>Análisis, monitoreo y seguimiento permenente a cuerpos de agua desde el laboratorio de calidad ambiental de la Corporación</t>
  </si>
  <si>
    <t xml:space="preserve">Los equipos automáticos de calidad del aire y calidad y cantidad del agua y ruido, instalados, se encuentran recolectando información de los contaminantes criterio e información de variables fisicoquímicas e meteorológicas, se encuentran asociados a la plataforma ambiensq-pro, herramienta que permite a CARDIQUE realizar la captura, transmisión, almacenamiento (en la nube), post-procesamiento y visualización en tiempo real de información de las variables de interés. </t>
  </si>
  <si>
    <t>SERVICIO DE MONTAJE, OPERACION, DESMONTE, INSPECCION Y MANTENIMIENTO DE BOMBA AXIAL VL16", PARA GARANTIZAR EL INTERCAMBIO DEL CUERPO DEL AGUA EL LAGUITO CON EL MAR ADYACENTE.</t>
  </si>
  <si>
    <t>LP-CARDIQUE-003-2022</t>
  </si>
  <si>
    <t>CONTRATAR LAS OBRAS DE MEJORAMIENTO HIDRÁULICO DE LOS CUERPOS DE AGUA DE LA ZONA NORTE DEL ÁREA DE LA JURISDICCIÓN DE CARDIQUE, EN DESARROLLO DEL PLAN DE ACCIÓN INSTITUCIONAL PARA EL AÑO 2022 - INTERVENTORÍA TÉCNICA, ADMINISTRATIVA, FINANCIERA, JURÍDICA, AMBIENTAL Y SISO PARA LAS OBRAS DE MEJORAMIENTO HIDRÁULICO DE LOS CUERPOS DE AGUA DE LA ZONA NORTE DEL ÁREA DE LA JURISDICCIÓN DE CARDIQUE,</t>
  </si>
  <si>
    <t xml:space="preserve">LP-CARDIQUE-01-2022, CMA-CARDIQUE-002-2022, 
</t>
  </si>
  <si>
    <t>Contrato 082 de 2021 para cumplimiento de metas totales del PAI</t>
  </si>
  <si>
    <t xml:space="preserve">CONVENIO ESPECIAL DE COOPERACION PARA ADELANTAR ACTIVIDADES CIENTIFICAS Y TECNOLOGICAS CON EL FIN DE AUNAR ESFUERZOS Y RECURSOS ECONOMICOS PARA EJECUTAR ACTIVIDADES DEL PROYECTO TITULADO "DESARROLLO DE UN SISTEMA DE ALERTAS TEMPRANAS (SAT) DE CONTAMINACION DE LAS AGUAS COSTERAS PARA LA RESILIENCIA DE LA BAHIA DE CARTAGENA. </t>
  </si>
  <si>
    <t>CD-CARDIQUE-110-2022</t>
  </si>
  <si>
    <t>Monitoreo, vigilancia, control y seguimiento permanente</t>
  </si>
  <si>
    <t>Análisis, monitoreo y seguimiento permenente a cuerpos de agua desde el laboratorio de calidad ambiental de la Corporación y vigilancia y control desde la Subdirección de Gestión Ambiental</t>
  </si>
  <si>
    <t>PSA paga 20 familias en el municipio de San Juan Nepomuceno y El Carmen de Bolívar (Reservas de la Sociedad Civil)</t>
  </si>
  <si>
    <t>AUNAR ESFUERZOS ENTRE EL MINISTERIO DE AMBIENTE Y DESARROLLO SOSTENIBLE Y LA CORPORACION AUTONOMA REGIONAL DEL CANAL DEL DIQUE - CARDIQUE,CON EL FIN DE REALIZAR UN ESTUDIO DE FACTIBILIDAD PARA EL DESARROLLO DE UNA INICIATIVA DE CARBONO AZUL EN EL SISTEMA SOCIO ECOLOGICO DE MANGLAR DE LA JURISDICCION DE CARDIQUE, EN EL MARCO DE LA ACTUALIZACION DEL "PROGRAMA PARA ELL USO SOSTENIBLE,MANEJO Y CONSERVACION DE LOS ECOSISTEMAS DE MANGLAR EN COLOMBIA" LA "ACTUALIZACION DE LA CONTRIBUCION DETERMINADA A NIVEL NACIONAL DE COLOMBIA - NDC" , EL PLAN NACIONAL DE DESARROLLO 2018-2022 "PACTO POR COLOMBIA,PACTO POR LA EQUIDAD" Y LA RESOLUCION 1263 DE 2019</t>
  </si>
  <si>
    <t>CD-802-2023</t>
  </si>
  <si>
    <t>RESTAURACIÓN ECOLÓGICA DE ÁREAS DEGRADADAS DE MANGLAR MEDIANTE APERTURA DE CANALES Y ESTABLECIMIENTO Y MANTENIMIENTO DE MANGLE EN DIFERENTES SECTORES DEL DISTRITO DE CARTAGENA DE INDIAS ( CONTRATO Nº SA-CARDIQUE-027-2021)</t>
  </si>
  <si>
    <t>“RESTAURACIÓN DE ECOSISTEMAS DE BOSQUES SECOS Y BOSQUES CON ESPECIES NATIVAS QUE FAVOREZCAN LA POLINIZACIÓN EN ÁREAS PERTENECIENTES A LA JURISDICCIÓN DE CARDIQUE.” (LP-CARDIQUE-003-2021)</t>
  </si>
  <si>
    <t>Sembraton y/o compensciones</t>
  </si>
  <si>
    <t>Acompñamiento y seguimiento por parte del área forestal</t>
  </si>
  <si>
    <t xml:space="preserve"> cONTRATAR LAS OBRAS PARA LA CONSTRUCCIÓN Y PUESTA EN MARCHA DE NUEVE (9) VIVEROS FORESTALES, CON UN SISTEMA DE BOMBEO SOSTENIBLE ABASTECIDO DE ENERGIA SOLAR FOTOVOLTAICA Y SISTEMA DE MONITORÉO POR CAM-INTERVENTORÍA TÉCNICA, ADMINISTRATIVA, FINANCIERA, JURÍDICA, AMBIENTAL Y SISO PARA CONTRATAR LAS OBRAS PARA LA CONSTRUCCIÓN Y PUESTA EN MARCHA DE NUEVE (9) VIVEROS FORESTALES, CON UN SISTEMA DE BOMBE</t>
  </si>
  <si>
    <t>LP-CARDIQUE-005-2022, CMA-CARDIQUE-006-2022</t>
  </si>
  <si>
    <t>INTERVENTORÍA TÉCNICA, ADMINISTRATIVA, FINANCIERA Y AMBIENTAL PARA LA RESTAURACION, REHABILITACION Y/O RECUPERACION DE COBERTURAS FORESTALES NATIVAS - BOSQUE SECO TROPICAL - INCLUYENDO ESPECIES QUE PROPICIEN O FAVOREZCAN LOS PROCESOS DE POLINIZACIÓN ASI COMO LAS ACTIVIDADES PRODUCTIVAS DEL SECTOR APICOLA EN ÁREAS DE INFLUENCIA DEL MUNICIPIO DE EL CARMEN DE BOLIVAR JURISDICCIÓN DE CARDIQUE</t>
  </si>
  <si>
    <t xml:space="preserve">CM-CARDIQUE-001-2022 </t>
  </si>
  <si>
    <t>Iguanas - Realización de operativos de vigilancia, control y seguimiento permanente al trafico ilegal de los recursos de fauna y flora</t>
  </si>
  <si>
    <t xml:space="preserve">Medidas de prevención y control al tráfico ilegal de flora y fauna </t>
  </si>
  <si>
    <t>Grupo de Fauna con guardias ambientales, área de Educación Ambiental</t>
  </si>
  <si>
    <t>Sandra</t>
  </si>
  <si>
    <t>Impular en municiopios de lajurisdicción proyectos productivosy negocios verdes (Sandra)</t>
  </si>
  <si>
    <t>SA-CARDIQUE-021-2022</t>
  </si>
  <si>
    <t>Impular en municiopios de lajurisdicción proyectos productivosy negocios verdes (Sandra) y Acciones desarrolladas dentro del marco de las actividades misionales de la Corporación, como es la asesoría y capacitación conjuntamente con el SENA sobre las buenas practicas empresariales.</t>
  </si>
  <si>
    <t>Desarrollo de "agendas" para observar las buenas practicas de cada subsector empresarial</t>
  </si>
  <si>
    <t>PRESTACIÓN DE SERVICIOS DE TRANSPORTE DE LOS NEGOCIOS VERDES AL EVENTO DE INAUGURACIÓN DE LOS PREMIOS GEMAS 2022, CON UNA CATEGORIA DENOMINADA: BOLIVAR, HACIA UN TERRITORIO RESILIENTE MÁS QUE SOSTENIBLE.</t>
  </si>
  <si>
    <t>Finalizado</t>
  </si>
  <si>
    <t>MC-CARDIQUE-006-2022 .. Transporte NV premios Gemas</t>
  </si>
  <si>
    <t>Impular en municiopios de lajurisdicción proyectos productivosy negocios verdes (Sandra) y PRESTACION DE SERVICIOS DE GENERACION DE PIEZAS AUDIOVISUALES, ACTUALIZACION DEL PORTAFOLIO DE SERVICIOS, ACTUALIZACION DE LA VENTANILLA Y DE LA APLICACIÓN PARA EL FORTALECIMIENTO DE LOS NGOCIOS VERDES DE LA CORPORACION AUTONOMA REGIONAL DEL CANAL DEL DIQUE - CARDIQUE</t>
  </si>
  <si>
    <t>Iguanas</t>
  </si>
  <si>
    <t>Información Luisa Fernanda y Juan Camilo</t>
  </si>
  <si>
    <t>Iguanas - PRESTACION DE SERVICIOS DE APOYO A LA GESTION PARA LAS ACTIVIDADES DE FOMENTO Y FORTALECIMIENTO DE LOS NEGOCIOS VERDESVPRIORIZADOS PARA LA VIGENCIA 2022</t>
  </si>
  <si>
    <t>CD-CARDIQUE-101-2022</t>
  </si>
  <si>
    <t>Se na realizado seguimiento a los PGIRS municiapales</t>
  </si>
  <si>
    <t>Seguimiento y actualización de los estados de elaboración o ejecución de los PGIRS municipales de la jurisdición y emisión de los respectivos requerimientos</t>
  </si>
  <si>
    <t>Se na realizado seguimiento a los PSMV municiapales</t>
  </si>
  <si>
    <t>Seguimiento y actualización de los estados de elaboración o ejecución de los PSMV municipales de la jurisdición y emisión de los respectivos requerimientos</t>
  </si>
  <si>
    <r>
      <t xml:space="preserve">Red de monitoreo, </t>
    </r>
    <r>
      <rPr>
        <sz val="8"/>
        <color rgb="FFFF0000"/>
        <rFont val="Arial Narrow"/>
        <family val="2"/>
      </rPr>
      <t>contrato firmado con K2</t>
    </r>
    <r>
      <rPr>
        <sz val="8"/>
        <rFont val="Arial Narrow"/>
        <family val="2"/>
      </rPr>
      <t>, apunta a una red integral de monitoreo de agua, aire y ruido.</t>
    </r>
  </si>
  <si>
    <t>REHABILITACIÓN ECOLÓGICA DE ÁREAS AFECTADAS POR LA ACTIVIDAD GANADERA EN LOS MUNICIPIOS DE SAN JACINTO Y EL CARMEN DE BOLÍVAR - DEPARTAMENTO DE BOLÍVAR (Fase de Selección (Presentación de ofertas))</t>
  </si>
  <si>
    <t>LP-CARDIQUE-006-2022</t>
  </si>
  <si>
    <t>Grupo de Educación Ambiental y Grupo de Ordenamiento Territorial</t>
  </si>
  <si>
    <t xml:space="preserve">Contrato de energías renovables LP-CARDIQUE-012-2022 </t>
  </si>
  <si>
    <t>En proceso licitatorio</t>
  </si>
  <si>
    <r>
      <t>LP-CARDIQUE</t>
    </r>
    <r>
      <rPr>
        <sz val="8"/>
        <color rgb="FFFF0000"/>
        <rFont val="Arial Narrow"/>
        <family val="2"/>
      </rPr>
      <t xml:space="preserve">-012-2022 </t>
    </r>
  </si>
  <si>
    <t>Contrato procesos de formación (Sandra)</t>
  </si>
  <si>
    <t xml:space="preserve">Contrato 098 de 2020. Los equipos automáticos de calidad del aire y calidad y cantidad del agua y ruido, instalados, se encuentran recolectando información de los contaminantes criterio e información de variables fisicoquímicas e meteorológicas, se encuentran asociados a la plataforma ambiensq-pro, herramienta que permite a CARDIQUE realizar la captura, transmisión, almacenamiento (en la nube), post-procesamiento y visualización en tiempo real de información de las variables de interés. </t>
  </si>
  <si>
    <t>Seguimiento a los reportes</t>
  </si>
  <si>
    <t>Reservorio</t>
  </si>
  <si>
    <t>AUNAR ESFUERZOS PARA LA IMPLEMENTACIÓN PROCESOS DE FORMACIÓN TÉCNICO NO FORMAL, LÚDICOS Y RECREATIVOS CON ENFOQUE SOCIAL Y COMUNITARIO, EN EL USO, TRATAMIENTO Y MANEJO DE SUSTANCIAS AGOTADORAS DE LA CAPA DE OZONO - SAO-, RESIDUOS PELIGROSOS - RESPEL- Y RESIDUOS ELÉCTRICOS Y ELECTRÓNICOS -RAEE-, EN DIEZ 10 MUNICIPIOS PRIORIZADOS QUE HACEN PARTE DE LA JURISDICCIÓN DE CARDIQUE</t>
  </si>
  <si>
    <t xml:space="preserve">PC-CARDIQUE-003-2022 </t>
  </si>
  <si>
    <r>
      <t>A</t>
    </r>
    <r>
      <rPr>
        <sz val="9"/>
        <rFont val="Arial"/>
        <family val="2"/>
      </rPr>
      <t>UNAR ESFUERZOS MEDIANTE UN CONVENIO DE ASOCIACIÓN CON UNA ENTIDAD SIN ÁNIMO DE LUCRO PARA EL "DESARROLLO DE UN PROGRAMA DE EDUCACIÓN AMBIENTAL ORIENTADO A LA FORMACION DE JÓVENES EN LA PROTECCION Y VIGILANCIA DEL MEDIO AMBIENTE EN LOCALIDADES PRIORIZADAS DE LA JURISDICCIÓN</t>
    </r>
  </si>
  <si>
    <t>PC-CARDIQUE-001-2022 … Guardias ambientales… capacitación ajovenes cuidado del MA</t>
  </si>
  <si>
    <t>Iguanas - Guardias ambientales</t>
  </si>
  <si>
    <t>Asistencia a nodo regional cambio climatico, sobre POMIUAC</t>
  </si>
  <si>
    <t>Apoyo a colectivos ambientales municipales desde el área de Educación Ambiental</t>
  </si>
  <si>
    <t>Desarrollo de actividades de asesoría y capacitacióones en los municipios de la jurisdicción</t>
  </si>
  <si>
    <t>Iguanas y PRESTACION DE SERVICIOS PROFESIONALES DE APOYO A LA GESTIÓN EN LA ELABORACIÓN Y DIVULGACIÓN DE PIEZAS PUBLICITARIAS Y AUDIOVISUALES, PARA LA PROMOCIÓN DE LAS ACTIVIDADES MISIONALES EN LA JURISDICCION DE LA CORPORACION AUTONOMA REGIONAL DEL CANAL DEL DIQUE – CARDIQUE</t>
  </si>
  <si>
    <t>CD-CARDIQUE-099-2022</t>
  </si>
  <si>
    <t>Iguanas y CONTRATAR UN PERIODICO DE AMPLIA CIRCULACIÓN REGIONAL PARA LA PUBLICACIÓN DE INFORMACIÓN DE INTERES GENERAL EMITIDA POR LA CORPORACIÓN AUTÓNOMA REGIONAL DEL CANAL DEL DIQUE-CARDIQUE</t>
  </si>
  <si>
    <t>MC-CARDIQUE-001-2022</t>
  </si>
  <si>
    <t>Donaldo - Municipios de San Juan (2 grupos), San Jacinto y San Estanislao (Las Piedras)</t>
  </si>
  <si>
    <t>CD-CARDIQUE-108-2022</t>
  </si>
  <si>
    <t>Iguanas y PRODUCCIÓN AUDIOVISUAL, DIVULGACIÓN DE MENSAJES INSTITUCIONALES DE LOS DIFERENTES PROGRAMAS, PROYECTOS Y ACTIVIDADES DE LA CORPORACIÓN AUTONOMA REGIONAL DEL CANAL DEL DIQUE A TRAVÉS DE UN PROGRAMA …</t>
  </si>
  <si>
    <t>SA-CARDIQUE-005-2022</t>
  </si>
  <si>
    <t>Realización de asesoría, capacitaciones y mesas de trabajo en cada uno de los municipios de la jurisdicción, especialmente a funcionarios de las distintas alcadías, así como ofrecimiento de la oferta institucional, en especial la información temática elaboradda por la corporación, entre otras las Determinates Ambientales.</t>
  </si>
  <si>
    <t>SUMINISTRO DE REACTIVOS, VIDRIERIA, CONSUMIBLES Y ELEMENTOS PARA EL FUNCIONAMIENTO DL LABORATORIO DE CALIDAD AMBIENTAL DE LA CORPORACION AUTONOMA REGIONAL DEL CANAL DEL DIQU - CARDIQUE.   ADQUISICIÓN DE REACTIVOS EASYDISC PCA Y PSEUDALERT PARA EL FUNCIONAMIENTO DEL LABORATORIO DE CALIDAD AMBIENTAL DE LA CORPORACION AUTONOMA REGIONAL DEL CANAL DEL DIQUE - CARDIQUE</t>
  </si>
  <si>
    <t>SA-CARDIQUE-014-2022 / CD-CARDIQUE-113-2022</t>
  </si>
  <si>
    <t xml:space="preserve">MANTENIMIENTO PREVENTIVO Y CORRECTIVO DE EQUIPOS DE LAORTARIO </t>
  </si>
  <si>
    <t>SA-CARDIQUE-022-2022</t>
  </si>
  <si>
    <t>ADQUISICION DE EQUIPOS DE LABORATORIO</t>
  </si>
  <si>
    <t>SA-CARDIQUE-015-2022</t>
  </si>
  <si>
    <t xml:space="preserve">SOPORTE Y SERVICIOS EN LA NUBE PARA LOS MODULOS LIMS, ADMINISTRATIVO, FACTURADOR, MUESTREOS Y RECURSOS DEL SOFTWARE SAMPLER / DISEÑO, DESARROLLO E IMPLEMENTACION DE UN SOFWARE COMO HERRAMIENTA TECNOLOGICA PARA EL APOYO A LAS LABORES DE EVALUACION, CONTROL, VIGILACIA Y SEGUIMIENTO AMBIENTAL A CARGO DE LA CORPORACION AUTONOMA REGIONAL DEL CANAL DEL DIQUE - CARDIQUE </t>
  </si>
  <si>
    <t>CD-CARDIQUE-098-2022 / CD-CARDIQUE-109-2022</t>
  </si>
  <si>
    <t xml:space="preserve">RECOLECCION Y TRANSPORTE, NEUTRALIZACION O INCINERACION Y DISPOSICIÓN FINAL DE CELDAS DE SEGURIDAD DE RESIDUOS PELIGROSOS GENERADOS POR EL LABORATORIO DE CALIDAD AMBIENTAL DE PROPIEDAD DE LA CORPORACION AUTONOMA REGIONAL DEL CANLA DEL DIQUE . CARDIQUE. </t>
  </si>
  <si>
    <t>MC-CARDIQUE-017-2022</t>
  </si>
  <si>
    <t xml:space="preserve">INTERVENTORÍA TÉCNICA, ADMINISTRATIVA, FINANCIERA, JURÍDICA, AMBIENTAL Y SISO PARA LAS OBRAS DE ADECUACIONES VARIAS EN LA SEDE DE LA CORPORACION AUTONOMA REGIONAL DEL CANAL DEL DIQUE / ADECUACIONES VARIAS EN LA SEDE DE LA COPORACION AUTONOMA REGIONAL DEL CANAL DEL DIQUE </t>
  </si>
  <si>
    <t>CMA- CARDIQUE-010-2022. / LP-CARDIQUE-009-2022</t>
  </si>
  <si>
    <t>ADQUISISCION DE DOS MOTOCICLETAS PARA LA CORPORACION AUTONOMA REGIONAL DEL CANAL DEL DIQUE - CARDIQUE.</t>
  </si>
  <si>
    <t>Orden de Compra 86757.. Dos motos</t>
  </si>
  <si>
    <t>MANTENIMIENTO A DISTANCIA DEL SISTEMA DE INFORMACIÓN ADMINISTRATIVO Y FINANCIERO P.C.T. - ENTERPRISE, VIGENCIA 2022 PARA LA CORPORACIÓN AUTONOMA REGIONAL DEL CANAL DEL DIQUE</t>
  </si>
  <si>
    <t>CD-CARDIQUE-054-2022 / MC-CARDIQUE-016-2022 / MC-CARDIQUE-014-2022</t>
  </si>
  <si>
    <t>SERVICIO DE LICENCIAS DEL SOFTWARE ADOBE CREATIVECLOUD PARA LA CORPORACION AUTONOMA REGIONAL DEL CANAL DEL DIQUE - CARDIQUE</t>
  </si>
  <si>
    <t>MC-CARDIQUE-014-2022</t>
  </si>
  <si>
    <t xml:space="preserve">CONSULTORIA PARA LA ELABORACIÓN DE LOS ESTUDIOS Y/O DISEÑOS DE LAS OBRAS A EJECUTAR EN LA JURISDICCIÓN DE LA CORPORACIÒN AUTONOMA REGIONAL DEL CANAL DEL DIQUE PREVISTAS COMO ACCIONES OPERATIVAS DEFIN. </t>
  </si>
  <si>
    <r>
      <t xml:space="preserve">CMA-CARDIQUE-007-2022 …. Estudios y diseños obras CMA-CARDIQUE-008-2022 .. Interventoría
CMA-CARDIQUE-005-2022  … Capacidad de carga. </t>
    </r>
    <r>
      <rPr>
        <sz val="8"/>
        <color rgb="FFFF0000"/>
        <rFont val="Arial Narrow"/>
        <family val="2"/>
      </rPr>
      <t>CMA-CARDIQUE-011-2022 PMA Humedales de playón y Matute</t>
    </r>
  </si>
  <si>
    <t>CONTRATAR LA PRESTACIÓN DE SERVICIOS PROFESIONALES Y APOYO A LA GESTIÓN DE UN ARQUITECTO ESPECIALISTA EN URBANISMO PARA LA EJECUCIÓN Y SEGUIMIENTO DE PLANES DE TRABAJO PROYECTADOS PARA EL FORTALECIMIENTO INSTITUCIONAL SOBRE EL CUMPLIMIENTO DE LAS ACTIVIDADES MISIONALES DE CONTROL Y VIGILANCIA, EVALUACIÓN Y SEGUIMIENTO AMBIENTAL –GRUPO ELITE CARDIQUE”</t>
  </si>
  <si>
    <t xml:space="preserve">CD-CARDIQUE-050-2022, 051, 055 al 074, 084, 085, 097, 107, </t>
  </si>
  <si>
    <t>PRESTACIÓN DE SERVICIOS PROFESIONALES PARA LA ASESORÍA Y ACOMPAÑAMIENTO EN EL FORTALECIMIENTO DE LA GESTIÓN AMBIENTAL MEDIANTE LA CAPACITACION EN FORMULACIÓN DE PROYECTOS AMBIENTALES EN DIEZ (10) CONSEJOS COMUNITARIOS DE COMUNIDADES NEGRAS, AFROCOLOMBIANAS, RAIZALES Y PALENQUERAS (NARP), LOCALIZADOS EN LA JURISDICCIÓN DE CARDIQUE.   / PRESTACION DE SERVICIOS DE FORMACION EN EDUCACION AMBIENTAL A CONSEJOS COMUNITARIOS DE COMUNIDADES NEGRAS, AFROCOLOMBIANAS, RAIZALES Y PALENQUERAS (NARP) , LOCALIZADAS EN LA JURISDICCION DE CARDIQUE .</t>
  </si>
  <si>
    <t>CD-CARDIQUE-091-2022 / CD-CARDIQUE-116-2022</t>
  </si>
  <si>
    <t xml:space="preserve">Iguanas y PRESTACIÓN DE SERVICIOS PROFESIONALES PARA LA ASESORÍA Y ACOMPAÑAMIENTO EN EL FORTALECIMIENTO DE LA GESTIÓN AMBIENTAL MEDIANTE LA CAPACITACION EN FORMULACIÓN DE PROYECTOS AMBIENTALES EN DIEZ (10) CONSEJOS COMUNITARIOS DE COMUNIDADES NEGRAS, AFROCOLOMBIANAS, RAIZALES Y PALENQUERAS (NARP), LOCALIZADOS EN LA JURISDICCIÓN DE CARDIQUE. </t>
  </si>
  <si>
    <t>CD-CARDIQUE-091-2022</t>
  </si>
  <si>
    <t>Rendimientos financieros de depósitos</t>
  </si>
  <si>
    <t>Transferencias - Condicionadas a la adquisición de un activo (Convenios)</t>
  </si>
  <si>
    <t xml:space="preserve">Actividad 8.1.1 Asesoría y seguimiento de los planes de educación ambiental  municipal y acompañamiento a los comités técnicos Interinstitucionales  de educación ambiental municipal (CIDEA) </t>
  </si>
  <si>
    <t xml:space="preserve">Actividad 9.2.7.  Mantenimiento de la acreditación del laboratorio en la norma ISO/IEC 17025 y de su autorización para realizar análisis fisicpquímos y microbiológicos
en aguas para consumo humano
</t>
  </si>
  <si>
    <t>Reporte Ingresos 2022</t>
  </si>
  <si>
    <t xml:space="preserve">Control </t>
  </si>
  <si>
    <t>CORPORACIÓN AUTONOMA REGIONAL DEL SUR DE BOLIVAR</t>
  </si>
  <si>
    <t>RECURSOS VIGENCIA :  2022-I</t>
  </si>
  <si>
    <t>(12)
RECAUDO
JUNIO</t>
  </si>
  <si>
    <t>(12)
RECAUDO
JUL - DIC.</t>
  </si>
  <si>
    <t>RECAUDO ACUMULADO</t>
  </si>
  <si>
    <t>FECHA DEL RECAUDO</t>
  </si>
  <si>
    <t>%
FUNCIONAMIENTO</t>
  </si>
  <si>
    <t>%
INVERSIÓN</t>
  </si>
  <si>
    <t>%
FCA</t>
  </si>
  <si>
    <t>%
SERVICIO A LA DEUDA</t>
  </si>
  <si>
    <t>Rendimientos financieros de títulos participativos</t>
  </si>
  <si>
    <t>Recuperación Cartera - CARDIQUE</t>
  </si>
  <si>
    <t>Aportes de la Nacion para servicio a la deuda</t>
  </si>
  <si>
    <t>Reporte ingresos - 30 Jun 2022</t>
  </si>
  <si>
    <t>PASIVOS VIGENCUIAS EXPIRADAS</t>
  </si>
  <si>
    <t>Final</t>
  </si>
  <si>
    <t>Reporte Inversión 2022</t>
  </si>
  <si>
    <t>Los 21 municipios de la jurisdicción</t>
  </si>
  <si>
    <t>Visitas de asesoría y asistencia técnica</t>
  </si>
  <si>
    <t xml:space="preserve">La Corporacion ha participado, junto con la Cooperacion Internacional, en la declaratoria de areas protegidas privadas (Reservas Naturales de la Sociedad Civil - RNSC), en la jurisdiccion de la Entidad, sumando a la fecha 47 RNSC inscritas en el RUNAP, que suman aproximada de 2.680 Ha.  </t>
  </si>
  <si>
    <t xml:space="preserve">La entidad adelanto distintas gestiones  de control y vigilancia para el manejo de especimenes en campo. Controles como, recoleccion y destrucción de especimenes de Caracol Gigante Africano, capacitaciones en el manejo del mismo e implementación del Plan de prevención, control y manejo (PPCM) de caracol gigante africano. </t>
  </si>
  <si>
    <t>Rehabilitación</t>
  </si>
  <si>
    <t>Recuperación</t>
  </si>
  <si>
    <t>N/A</t>
  </si>
  <si>
    <t>Embalse del Playon de Maria La Baja</t>
  </si>
  <si>
    <t>Formulado</t>
  </si>
  <si>
    <t>Estado de avance a 31 de diciembre de 2022 (%)</t>
  </si>
  <si>
    <t>Estado de avance a 31 de diciembre de 2022  (c)</t>
  </si>
  <si>
    <t>Número total de cuerpos de agua sujeto de reglamentación de planes de ordenamiento del recurso hídrico (PORH) adoptados a 31/12/2022:</t>
  </si>
  <si>
    <t>Meta del Pomca Arroyos que Vierten al Caribe Norte para ser elaborado en el año 2022, fue declarado en ordenación, mediante acuerdo 002 por la Comisión Conjunta -  http://www.crautonoma.gov.co/documentos/pomcas/Mar%20caribe/DECLARATORIA%20EN%20ORDENACION%20CUENCA%20CARIBE.pdf</t>
  </si>
  <si>
    <t xml:space="preserve">Acuerdo 015 del 17 de diciembre de 2021 </t>
  </si>
  <si>
    <t xml:space="preserve">Acuerdo 004 del 29 de marzo de 2022 </t>
  </si>
  <si>
    <t>Número total de cuerpos de agua con reglamentación del uso de las aguas a 31/12/2022:</t>
  </si>
  <si>
    <t>Número total de Programas de Uso Eficiente y Ahorro del Agua (PUEAA) aprobados por la Corporación a 31/12/2022:</t>
  </si>
  <si>
    <t>Número de áreas protegidas inscritas en el RUNAP a 31/12/2022 (número)</t>
  </si>
  <si>
    <t>Superficie de áreas protegidas inscritas en el RUNAP a 31/12/2022 (ha)</t>
  </si>
  <si>
    <t>La Corporación no tiene dentro de su area de jurisdicción sistemas de ecosistemas de paramo, por tanto este indicador NO APLICA</t>
  </si>
  <si>
    <t>Plan de Ordenamiento Forestal Formulado y Adoptado mediante, Acuerdo 0002 del 14 de junio de 2028</t>
  </si>
  <si>
    <t>Superficie cubierta en el Plan de Ordenación Forestal adoptado a 14/07/2018 (ha)</t>
  </si>
  <si>
    <t>Acuerdo N° 0002 del 20 de mayo del 2022</t>
  </si>
  <si>
    <t>Número de usuarios de agua a 31/12/2021</t>
  </si>
  <si>
    <t>Número de concesiones de agua otorgadas a 31/12/2021</t>
  </si>
  <si>
    <t>Número de captaciones de agua otorgadas a 31/12/2021</t>
  </si>
  <si>
    <t>Número de usuarios de vertimientos de agua a 31/12/2022</t>
  </si>
  <si>
    <t>Número de permisos de vertimiento de agua otorgadas a 31/12/2022</t>
  </si>
  <si>
    <t>Número de puntos de vertimientos a 31/12/2022</t>
  </si>
  <si>
    <t>Número de usuarios de permisos de aprovechamiento forestal a 31/12/2021</t>
  </si>
  <si>
    <t>Número de permisos de aprovechamiento forestal vigentes a 31/12/2021</t>
  </si>
  <si>
    <t>Número total de licencias ambientales vigentes y aprobadas por la Corporación a 31/12/2021:</t>
  </si>
  <si>
    <t>Número de usuarios de permisos de emisiones atmosféricas a 31/12/2021</t>
  </si>
  <si>
    <t>Número de permisos de emisiones atmosféricas vigentes a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</si>
</sst>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 _€_-;\-* #,##0.00\ _€_-;_-* &quot;-&quot;??\ _€_-;_-@_-"/>
    <numFmt numFmtId="165" formatCode="_-* #,##0_-;\-* #,##0_-;_-* &quot;-&quot;_-;_-@_-"/>
    <numFmt numFmtId="166" formatCode="_-* #,##0.00_-;\-* #,##0.00_-;_-* &quot;-&quot;??_-;_-@_-"/>
    <numFmt numFmtId="167" formatCode="_(* #,##0.00_);_(* \(#,##0.00\);_(* &quot;-&quot;??_);_(@_)"/>
    <numFmt numFmtId="168" formatCode="0.0"/>
    <numFmt numFmtId="169" formatCode="_-* #,##0_-;\-* #,##0_-;_-* &quot;-&quot;??_-;_-@_-"/>
    <numFmt numFmtId="170" formatCode="_(* #,##0_);_(* \(#,##0\);_(* &quot;-&quot;??_);_(@_)"/>
    <numFmt numFmtId="171" formatCode="_(* #,##0.000_);_(* \(#,##0.000\);_(* &quot;-&quot;???_);_(@_)"/>
    <numFmt numFmtId="172" formatCode="_(* #,##0.000_);_(* \(#,##0.000\);_(* &quot;-&quot;??_);_(@_)"/>
    <numFmt numFmtId="173" formatCode="0.0%"/>
    <numFmt numFmtId="174" formatCode="[$$-240A]\ #,##0.00"/>
    <numFmt numFmtId="175" formatCode="_-* #,##0.000\ _€_-;\-* #,##0.000\ _€_-;_-* &quot;-&quot;???\ _€_-;_-@_-"/>
    <numFmt numFmtId="176" formatCode="#,##0.0"/>
    <numFmt numFmtId="177" formatCode="0.000000000%"/>
    <numFmt numFmtId="178" formatCode="0.00000000000%"/>
    <numFmt numFmtId="179" formatCode="0.0000000000%"/>
    <numFmt numFmtId="181" formatCode="_-* #,##0.000_-;\-* #,##0.000_-;_-* &quot;-&quot;???_-;_-@_-"/>
  </numFmts>
  <fonts count="88" x14ac:knownFonts="1">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11"/>
      <name val="Arial Narrow"/>
      <family val="2"/>
    </font>
    <font>
      <b/>
      <sz val="8"/>
      <name val="Arial Narrow"/>
      <family val="2"/>
    </font>
    <font>
      <sz val="8"/>
      <name val="Arial Narrow"/>
      <family val="2"/>
    </font>
    <font>
      <b/>
      <sz val="9"/>
      <name val="Arial Narrow"/>
      <family val="2"/>
    </font>
    <font>
      <b/>
      <sz val="7"/>
      <name val="Arial Narrow"/>
      <family val="2"/>
    </font>
    <font>
      <sz val="7"/>
      <name val="Arial Narrow"/>
      <family val="2"/>
    </font>
    <font>
      <u/>
      <sz val="7"/>
      <name val="Arial Narrow"/>
      <family val="2"/>
    </font>
    <font>
      <b/>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sz val="10"/>
      <color theme="1"/>
      <name val="Arial Narrow"/>
      <family val="2"/>
    </font>
    <font>
      <b/>
      <sz val="10"/>
      <color theme="1"/>
      <name val="Arial Narrow"/>
      <family val="2"/>
    </font>
    <font>
      <sz val="10"/>
      <color rgb="FF000000"/>
      <name val="Arial Narrow"/>
      <family val="2"/>
    </font>
    <font>
      <b/>
      <sz val="10"/>
      <color indexed="8"/>
      <name val="Arial Narrow"/>
      <family val="2"/>
    </font>
    <font>
      <sz val="9"/>
      <color indexed="81"/>
      <name val="Tahoma"/>
      <family val="2"/>
    </font>
    <font>
      <b/>
      <sz val="9"/>
      <color indexed="81"/>
      <name val="Tahoma"/>
      <family val="2"/>
    </font>
    <font>
      <b/>
      <sz val="10"/>
      <color rgb="FFFF0000"/>
      <name val="Arial Narrow"/>
      <family val="2"/>
    </font>
    <font>
      <b/>
      <sz val="8"/>
      <color rgb="FFFF0000"/>
      <name val="Arial Narrow"/>
      <family val="2"/>
    </font>
    <font>
      <b/>
      <sz val="7"/>
      <color rgb="FFFF0000"/>
      <name val="Arial Narrow"/>
      <family val="2"/>
    </font>
    <font>
      <sz val="7"/>
      <color rgb="FFFF0000"/>
      <name val="Arial Narrow"/>
      <family val="2"/>
    </font>
    <font>
      <sz val="10"/>
      <color theme="1"/>
      <name val="Arial"/>
      <family val="2"/>
    </font>
    <font>
      <sz val="9"/>
      <name val="Calibri"/>
      <family val="2"/>
      <scheme val="minor"/>
    </font>
    <font>
      <sz val="10"/>
      <color theme="1"/>
      <name val="Verdana"/>
      <family val="2"/>
    </font>
    <font>
      <sz val="9"/>
      <name val="Arial Narrow"/>
      <family val="2"/>
    </font>
    <font>
      <b/>
      <sz val="14"/>
      <name val="Arial Narrow"/>
      <family val="2"/>
    </font>
    <font>
      <b/>
      <sz val="10"/>
      <color rgb="FF000000"/>
      <name val="Arial Narrow"/>
      <family val="2"/>
    </font>
    <font>
      <b/>
      <sz val="10"/>
      <color rgb="FFFFFFFF"/>
      <name val="Arial Narrow"/>
      <family val="2"/>
    </font>
    <font>
      <b/>
      <sz val="11"/>
      <name val="Calibri"/>
      <family val="2"/>
    </font>
    <font>
      <sz val="8"/>
      <name val="Calibri"/>
      <family val="2"/>
      <scheme val="minor"/>
    </font>
    <font>
      <sz val="9"/>
      <color rgb="FF000000"/>
      <name val="Calibri"/>
      <family val="2"/>
    </font>
    <font>
      <sz val="9"/>
      <color theme="1"/>
      <name val="Calibri"/>
      <family val="2"/>
    </font>
    <font>
      <sz val="8"/>
      <color rgb="FFFF0000"/>
      <name val="Arial Narrow"/>
      <family val="2"/>
    </font>
    <font>
      <sz val="11"/>
      <color theme="1"/>
      <name val="Arial Narrow"/>
      <family val="2"/>
    </font>
    <font>
      <sz val="11"/>
      <color theme="1"/>
      <name val="Arial"/>
      <family val="2"/>
    </font>
    <font>
      <sz val="11"/>
      <color rgb="FF000000"/>
      <name val="Arial Narrow"/>
      <family val="2"/>
    </font>
    <font>
      <sz val="12"/>
      <color theme="1"/>
      <name val="Arial Narrow"/>
      <family val="2"/>
    </font>
    <font>
      <sz val="9"/>
      <color rgb="FF808080"/>
      <name val="Arial"/>
      <family val="2"/>
    </font>
    <font>
      <sz val="9"/>
      <name val="Arial"/>
      <family val="2"/>
    </font>
    <font>
      <sz val="12"/>
      <color theme="1"/>
      <name val="Calibri"/>
      <family val="2"/>
      <scheme val="minor"/>
    </font>
    <font>
      <b/>
      <sz val="9"/>
      <color rgb="FFFF0000"/>
      <name val="Verdana"/>
      <family val="2"/>
    </font>
    <font>
      <sz val="9"/>
      <color rgb="FF000000"/>
      <name val="Arial Narrow"/>
      <family val="2"/>
    </font>
    <font>
      <sz val="10"/>
      <color rgb="FFFF0000"/>
      <name val="Arial Narrow"/>
      <family val="2"/>
    </font>
    <font>
      <sz val="11"/>
      <color rgb="FFFF0000"/>
      <name val="Calibri"/>
      <family val="2"/>
      <scheme val="minor"/>
    </font>
    <font>
      <b/>
      <sz val="9"/>
      <color rgb="FF000000"/>
      <name val="Tahoma"/>
      <family val="2"/>
    </font>
    <font>
      <sz val="9"/>
      <color rgb="FF000000"/>
      <name val="Tahoma"/>
      <family val="2"/>
    </font>
  </fonts>
  <fills count="69">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indexed="11"/>
        <bgColor indexed="64"/>
      </patternFill>
    </fill>
    <fill>
      <patternFill patternType="solid">
        <fgColor rgb="FFFF0000"/>
        <bgColor indexed="64"/>
      </patternFill>
    </fill>
    <fill>
      <patternFill patternType="solid">
        <fgColor rgb="FFB4D79D"/>
        <bgColor rgb="FFA8D08D"/>
      </patternFill>
    </fill>
    <fill>
      <patternFill patternType="solid">
        <fgColor theme="4" tint="0.79998168889431442"/>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rgb="FFFFFF00"/>
        <bgColor rgb="FFE2EFD9"/>
      </patternFill>
    </fill>
    <fill>
      <patternFill patternType="solid">
        <fgColor theme="9" tint="-0.249977111117893"/>
        <bgColor rgb="FFA8D08D"/>
      </patternFill>
    </fill>
    <fill>
      <patternFill patternType="solid">
        <fgColor theme="9" tint="-0.249977111117893"/>
        <bgColor rgb="FFC5E0B3"/>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59999389629810485"/>
        <bgColor rgb="FFA8D08D"/>
      </patternFill>
    </fill>
    <fill>
      <patternFill patternType="solid">
        <fgColor theme="9" tint="0.59999389629810485"/>
        <bgColor rgb="FFC5E0B3"/>
      </patternFill>
    </fill>
    <fill>
      <patternFill patternType="solid">
        <fgColor theme="9"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66FF66"/>
        <bgColor rgb="FFE2EFD9"/>
      </patternFill>
    </fill>
    <fill>
      <patternFill patternType="solid">
        <fgColor rgb="FF70AD47"/>
        <bgColor rgb="FF70AD47"/>
      </patternFill>
    </fill>
    <fill>
      <patternFill patternType="solid">
        <fgColor rgb="FF66FF66"/>
        <bgColor indexed="64"/>
      </patternFill>
    </fill>
    <fill>
      <patternFill patternType="solid">
        <fgColor rgb="FFFF0000"/>
        <bgColor rgb="FF70AD47"/>
      </patternFill>
    </fill>
    <fill>
      <patternFill patternType="solid">
        <fgColor theme="9" tint="0.39997558519241921"/>
        <bgColor rgb="FFA8D08D"/>
      </patternFill>
    </fill>
    <fill>
      <patternFill patternType="solid">
        <fgColor theme="9" tint="0.79998168889431442"/>
        <bgColor rgb="FFC5E0B3"/>
      </patternFill>
    </fill>
    <fill>
      <patternFill patternType="solid">
        <fgColor theme="0"/>
        <bgColor rgb="FFC5E0B3"/>
      </patternFill>
    </fill>
    <fill>
      <patternFill patternType="solid">
        <fgColor theme="9" tint="0.79998168889431442"/>
        <bgColor rgb="FFA8D08D"/>
      </patternFill>
    </fill>
    <fill>
      <patternFill patternType="solid">
        <fgColor theme="9" tint="0.39997558519241921"/>
        <bgColor rgb="FFC5E0B3"/>
      </patternFill>
    </fill>
    <fill>
      <patternFill patternType="solid">
        <fgColor theme="2" tint="-0.499984740745262"/>
        <bgColor indexed="64"/>
      </patternFill>
    </fill>
    <fill>
      <patternFill patternType="solid">
        <fgColor rgb="FF66FF66"/>
        <bgColor rgb="FFA8D08D"/>
      </patternFill>
    </fill>
    <fill>
      <patternFill patternType="solid">
        <fgColor rgb="FF99FF99"/>
        <bgColor rgb="FFA8D08D"/>
      </patternFill>
    </fill>
    <fill>
      <patternFill patternType="solid">
        <fgColor rgb="FF99FF99"/>
        <bgColor indexed="64"/>
      </patternFill>
    </fill>
    <fill>
      <patternFill patternType="solid">
        <fgColor rgb="FFCCFFCC"/>
        <bgColor rgb="FFA8D08D"/>
      </patternFill>
    </fill>
    <fill>
      <patternFill patternType="solid">
        <fgColor rgb="FFCCFFCC"/>
        <bgColor indexed="64"/>
      </patternFill>
    </fill>
    <fill>
      <patternFill patternType="solid">
        <fgColor rgb="FFFFFF00"/>
        <bgColor rgb="FFFFFF00"/>
      </patternFill>
    </fill>
    <fill>
      <patternFill patternType="solid">
        <fgColor rgb="FFD9D9D9"/>
        <bgColor rgb="FFD9D9D9"/>
      </patternFill>
    </fill>
    <fill>
      <patternFill patternType="solid">
        <fgColor rgb="FF00FFFF"/>
        <bgColor indexed="64"/>
      </patternFill>
    </fill>
    <fill>
      <patternFill patternType="solid">
        <fgColor rgb="FFFFFFFF"/>
        <bgColor indexed="64"/>
      </patternFill>
    </fill>
    <fill>
      <patternFill patternType="solid">
        <fgColor rgb="FF92D050"/>
        <bgColor indexed="64"/>
      </patternFill>
    </fill>
    <fill>
      <patternFill patternType="solid">
        <fgColor rgb="FF00FF0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FF6FB"/>
        <bgColor indexed="64"/>
      </patternFill>
    </fill>
    <fill>
      <patternFill patternType="solid">
        <fgColor rgb="FFFFFF00"/>
        <bgColor rgb="FF000000"/>
      </patternFill>
    </fill>
  </fills>
  <borders count="9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bottom style="double">
        <color rgb="FF000000"/>
      </bottom>
      <diagonal/>
    </border>
    <border>
      <left/>
      <right/>
      <top/>
      <bottom style="double">
        <color rgb="FF000000"/>
      </bottom>
      <diagonal/>
    </border>
    <border>
      <left/>
      <right style="thin">
        <color indexed="64"/>
      </right>
      <top/>
      <bottom style="double">
        <color rgb="FF000000"/>
      </bottom>
      <diagonal/>
    </border>
    <border>
      <left style="double">
        <color rgb="FF000000"/>
      </left>
      <right/>
      <top style="thin">
        <color indexed="64"/>
      </top>
      <bottom style="double">
        <color rgb="FF000000"/>
      </bottom>
      <diagonal/>
    </border>
    <border>
      <left/>
      <right/>
      <top style="thin">
        <color indexed="64"/>
      </top>
      <bottom style="double">
        <color rgb="FF000000"/>
      </bottom>
      <diagonal/>
    </border>
    <border>
      <left/>
      <right style="double">
        <color rgb="FF000000"/>
      </right>
      <top style="thin">
        <color indexed="64"/>
      </top>
      <bottom style="double">
        <color rgb="FF000000"/>
      </bottom>
      <diagonal/>
    </border>
    <border>
      <left style="double">
        <color rgb="FF000000"/>
      </left>
      <right/>
      <top/>
      <bottom style="double">
        <color rgb="FF000000"/>
      </bottom>
      <diagonal/>
    </border>
    <border>
      <left style="thin">
        <color indexed="64"/>
      </left>
      <right/>
      <top style="double">
        <color rgb="FF000000"/>
      </top>
      <bottom style="double">
        <color rgb="FF000000"/>
      </bottom>
      <diagonal/>
    </border>
    <border>
      <left style="double">
        <color indexed="64"/>
      </left>
      <right/>
      <top style="medium">
        <color indexed="64"/>
      </top>
      <bottom/>
      <diagonal/>
    </border>
    <border>
      <left/>
      <right style="double">
        <color indexed="64"/>
      </right>
      <top style="medium">
        <color indexed="64"/>
      </top>
      <bottom/>
      <diagonal/>
    </border>
    <border>
      <left style="double">
        <color rgb="FF000000"/>
      </left>
      <right/>
      <top style="double">
        <color rgb="FF000000"/>
      </top>
      <bottom/>
      <diagonal/>
    </border>
    <border>
      <left style="double">
        <color rgb="FF000000"/>
      </left>
      <right style="double">
        <color rgb="FF000000"/>
      </right>
      <top/>
      <bottom/>
      <diagonal/>
    </border>
  </borders>
  <cellStyleXfs count="14">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166" fontId="21" fillId="0" borderId="0" applyFont="0" applyFill="0" applyBorder="0" applyAlignment="0" applyProtection="0"/>
    <xf numFmtId="0" fontId="32" fillId="0" borderId="0"/>
    <xf numFmtId="165"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0" fontId="21" fillId="0" borderId="0"/>
    <xf numFmtId="9" fontId="21" fillId="0" borderId="0" applyFont="0" applyFill="0" applyBorder="0" applyAlignment="0" applyProtection="0"/>
    <xf numFmtId="165" fontId="21" fillId="0" borderId="0" applyFont="0" applyFill="0" applyBorder="0" applyAlignment="0" applyProtection="0"/>
  </cellStyleXfs>
  <cellXfs count="1633">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3" borderId="8" xfId="0" applyFont="1" applyFill="1" applyBorder="1" applyAlignment="1">
      <alignment vertical="top"/>
    </xf>
    <xf numFmtId="0" fontId="4" fillId="4" borderId="8" xfId="0" applyFont="1" applyFill="1" applyBorder="1" applyAlignment="1">
      <alignment vertical="top"/>
    </xf>
    <xf numFmtId="0" fontId="4" fillId="0" borderId="7" xfId="0" applyFont="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8" fillId="0" borderId="6"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Alignment="1" applyProtection="1">
      <alignment horizontal="center" vertical="top" wrapText="1"/>
      <protection locked="0"/>
    </xf>
    <xf numFmtId="0" fontId="12" fillId="0" borderId="0" xfId="0" applyFont="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3" borderId="8" xfId="0" applyFont="1" applyFill="1" applyBorder="1" applyAlignment="1">
      <alignment horizontal="center"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0" fontId="4" fillId="3" borderId="8" xfId="0" applyFont="1" applyFill="1" applyBorder="1" applyAlignment="1">
      <alignment horizontal="left" vertical="top"/>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9" fontId="4" fillId="4" borderId="8" xfId="3" applyFont="1" applyFill="1" applyBorder="1" applyAlignment="1">
      <alignment vertical="top" wrapText="1"/>
    </xf>
    <xf numFmtId="0" fontId="4" fillId="4" borderId="8" xfId="0" applyFont="1" applyFill="1" applyBorder="1" applyAlignment="1">
      <alignment horizontal="center" vertical="top"/>
    </xf>
    <xf numFmtId="168"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9" fontId="4" fillId="4" borderId="12" xfId="4" applyNumberFormat="1" applyFont="1" applyFill="1" applyBorder="1" applyAlignment="1">
      <alignment horizontal="center" vertical="top" wrapText="1"/>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5" xfId="0" applyFont="1" applyBorder="1" applyAlignment="1">
      <alignment vertical="top" wrapText="1"/>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23" fillId="6" borderId="18" xfId="1" applyFont="1" applyFill="1" applyBorder="1" applyAlignment="1" applyProtection="1">
      <alignment vertical="top"/>
    </xf>
    <xf numFmtId="0" fontId="1" fillId="6" borderId="20" xfId="1" applyFill="1" applyBorder="1" applyAlignment="1" applyProtection="1">
      <alignment vertical="top"/>
    </xf>
    <xf numFmtId="9" fontId="7" fillId="6" borderId="12" xfId="0" applyNumberFormat="1" applyFont="1" applyFill="1" applyBorder="1" applyAlignment="1">
      <alignment horizontal="center" vertical="top"/>
    </xf>
    <xf numFmtId="0" fontId="4" fillId="0" borderId="1"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14" fillId="0" borderId="16" xfId="0" applyFont="1" applyBorder="1" applyAlignment="1">
      <alignment horizontal="left" vertical="top"/>
    </xf>
    <xf numFmtId="0" fontId="24" fillId="0" borderId="16" xfId="2" applyFont="1" applyBorder="1" applyAlignment="1" applyProtection="1">
      <alignment horizontal="left" vertical="top" wrapText="1"/>
    </xf>
    <xf numFmtId="0" fontId="8" fillId="0" borderId="7" xfId="0" applyFont="1" applyBorder="1" applyAlignment="1">
      <alignment horizontal="center"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lignment horizontal="center" vertical="top"/>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1" fontId="4" fillId="4" borderId="12" xfId="3" applyNumberFormat="1" applyFont="1" applyFill="1" applyBorder="1" applyAlignment="1">
      <alignment horizontal="center" vertical="top"/>
    </xf>
    <xf numFmtId="0" fontId="8" fillId="0" borderId="0" xfId="0" applyFont="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8" fillId="0" borderId="16" xfId="0" applyFont="1" applyBorder="1" applyAlignment="1">
      <alignment vertical="top" wrapText="1"/>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0" fontId="4" fillId="3" borderId="15" xfId="0" applyFont="1" applyFill="1" applyBorder="1" applyAlignment="1" applyProtection="1">
      <alignment horizontal="center" vertical="top" wrapText="1"/>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lignment vertical="top" wrapText="1"/>
    </xf>
    <xf numFmtId="3" fontId="4" fillId="3" borderId="13" xfId="0" applyNumberFormat="1" applyFont="1" applyFill="1" applyBorder="1" applyAlignment="1" applyProtection="1">
      <alignment vertical="top" wrapText="1"/>
      <protection locked="0"/>
    </xf>
    <xf numFmtId="0" fontId="4" fillId="3" borderId="8" xfId="0" applyFont="1" applyFill="1" applyBorder="1" applyAlignment="1" applyProtection="1">
      <alignment horizontal="left" vertical="top" wrapText="1"/>
      <protection locked="0"/>
    </xf>
    <xf numFmtId="0" fontId="4" fillId="3" borderId="12" xfId="0" applyFont="1" applyFill="1" applyBorder="1" applyAlignment="1" applyProtection="1">
      <alignment vertical="top" wrapText="1"/>
      <protection locked="0"/>
    </xf>
    <xf numFmtId="0" fontId="3" fillId="3" borderId="8" xfId="0" applyFont="1" applyFill="1" applyBorder="1" applyAlignment="1" applyProtection="1">
      <alignment vertical="top" wrapText="1"/>
      <protection locked="0"/>
    </xf>
    <xf numFmtId="0" fontId="14" fillId="3" borderId="8" xfId="0" applyFont="1" applyFill="1" applyBorder="1" applyAlignment="1" applyProtection="1">
      <alignment horizontal="center" vertical="top"/>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9"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9" fontId="4" fillId="4" borderId="13" xfId="3" applyFont="1" applyFill="1" applyBorder="1" applyAlignment="1">
      <alignment horizontal="center" vertical="top" wrapText="1"/>
    </xf>
    <xf numFmtId="0" fontId="4" fillId="3" borderId="31" xfId="0" applyFont="1" applyFill="1" applyBorder="1" applyAlignment="1" applyProtection="1">
      <alignment vertical="top"/>
      <protection locked="0"/>
    </xf>
    <xf numFmtId="0" fontId="4" fillId="3" borderId="32" xfId="0" applyFont="1" applyFill="1" applyBorder="1" applyAlignment="1" applyProtection="1">
      <alignment vertical="top"/>
      <protection locked="0"/>
    </xf>
    <xf numFmtId="0" fontId="4" fillId="3" borderId="33" xfId="0" applyFont="1" applyFill="1" applyBorder="1" applyAlignment="1" applyProtection="1">
      <alignment vertical="top"/>
      <protection locked="0"/>
    </xf>
    <xf numFmtId="0" fontId="0" fillId="3" borderId="34" xfId="0" applyFill="1" applyBorder="1" applyAlignment="1" applyProtection="1">
      <alignment horizontal="center" vertical="center"/>
      <protection locked="0"/>
    </xf>
    <xf numFmtId="0" fontId="0" fillId="3" borderId="35"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7" fillId="0" borderId="16" xfId="0" applyFont="1" applyBorder="1" applyAlignment="1">
      <alignment horizontal="center" vertical="center" wrapText="1"/>
    </xf>
    <xf numFmtId="0" fontId="0" fillId="0" borderId="16" xfId="0" applyBorder="1" applyAlignment="1">
      <alignment vertical="center"/>
    </xf>
    <xf numFmtId="0" fontId="0" fillId="0" borderId="16" xfId="0" applyBorder="1" applyAlignment="1">
      <alignment horizontal="center" vertical="center"/>
    </xf>
    <xf numFmtId="0" fontId="0" fillId="6" borderId="16" xfId="3" applyNumberFormat="1" applyFont="1" applyFill="1" applyBorder="1" applyAlignment="1" applyProtection="1">
      <alignment horizontal="left" vertical="top"/>
    </xf>
    <xf numFmtId="0" fontId="0" fillId="0" borderId="16" xfId="0" applyBorder="1" applyAlignment="1" applyProtection="1">
      <alignment horizontal="center" vertical="top"/>
      <protection locked="0"/>
    </xf>
    <xf numFmtId="0" fontId="7" fillId="0" borderId="18" xfId="0" applyFont="1" applyBorder="1" applyAlignment="1">
      <alignment horizontal="center" vertical="center"/>
    </xf>
    <xf numFmtId="0" fontId="7" fillId="0" borderId="20" xfId="0" applyFont="1" applyBorder="1" applyAlignment="1" applyProtection="1">
      <alignment horizontal="center" vertical="center"/>
      <protection locked="0"/>
    </xf>
    <xf numFmtId="0" fontId="7" fillId="6" borderId="20" xfId="3" applyNumberFormat="1" applyFont="1" applyFill="1" applyBorder="1" applyAlignment="1" applyProtection="1">
      <alignment horizontal="left" vertical="top"/>
      <protection locked="0"/>
    </xf>
    <xf numFmtId="0" fontId="7" fillId="0" borderId="19" xfId="0" applyFont="1" applyBorder="1" applyAlignment="1">
      <alignment horizontal="center" vertical="center"/>
    </xf>
    <xf numFmtId="0" fontId="7" fillId="6" borderId="19" xfId="3" applyNumberFormat="1" applyFont="1" applyFill="1" applyBorder="1" applyAlignment="1" applyProtection="1">
      <alignment horizontal="left" vertical="top"/>
    </xf>
    <xf numFmtId="0" fontId="17" fillId="0" borderId="0" xfId="2" applyFill="1" applyProtection="1"/>
    <xf numFmtId="0" fontId="17" fillId="0" borderId="0" xfId="2" applyFill="1" applyBorder="1" applyProtection="1"/>
    <xf numFmtId="9" fontId="4" fillId="4" borderId="8" xfId="3" applyFont="1" applyFill="1" applyBorder="1" applyAlignment="1" applyProtection="1">
      <alignment vertical="top"/>
    </xf>
    <xf numFmtId="9" fontId="0" fillId="0" borderId="0" xfId="0" applyNumberFormat="1"/>
    <xf numFmtId="9" fontId="4" fillId="4" borderId="12" xfId="0" applyNumberFormat="1" applyFont="1" applyFill="1" applyBorder="1" applyAlignment="1">
      <alignment horizontal="center"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9" fontId="0" fillId="6" borderId="0" xfId="3" applyFont="1" applyFill="1" applyAlignment="1" applyProtection="1">
      <alignment horizontal="center" vertical="top"/>
      <protection hidden="1"/>
    </xf>
    <xf numFmtId="9" fontId="0" fillId="6" borderId="16" xfId="3" applyFont="1" applyFill="1" applyBorder="1" applyAlignment="1" applyProtection="1">
      <alignment horizontal="center" vertical="top"/>
      <protection hidden="1"/>
    </xf>
    <xf numFmtId="0" fontId="7" fillId="6" borderId="16" xfId="3" applyNumberFormat="1" applyFont="1" applyFill="1" applyBorder="1" applyAlignment="1" applyProtection="1">
      <alignment horizontal="left" vertical="top" wrapText="1"/>
      <protection hidden="1"/>
    </xf>
    <xf numFmtId="0" fontId="7" fillId="6" borderId="18" xfId="3" applyNumberFormat="1" applyFont="1" applyFill="1" applyBorder="1" applyAlignment="1" applyProtection="1">
      <alignment horizontal="left" vertical="top" wrapText="1"/>
      <protection hidden="1"/>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30" fillId="0" borderId="0" xfId="0" applyFont="1" applyAlignment="1">
      <alignment vertical="center" wrapText="1"/>
    </xf>
    <xf numFmtId="0" fontId="30" fillId="0" borderId="0" xfId="0" applyFont="1" applyAlignment="1">
      <alignment vertical="center"/>
    </xf>
    <xf numFmtId="0" fontId="30" fillId="0" borderId="0" xfId="5" applyFont="1" applyAlignment="1">
      <alignment vertical="center" wrapText="1"/>
    </xf>
    <xf numFmtId="3" fontId="37" fillId="0" borderId="40" xfId="5" applyNumberFormat="1" applyFont="1" applyBorder="1" applyAlignment="1">
      <alignment vertical="center" wrapText="1"/>
    </xf>
    <xf numFmtId="3" fontId="37" fillId="0" borderId="43" xfId="5" applyNumberFormat="1" applyFont="1" applyBorder="1" applyAlignment="1">
      <alignment vertical="center" wrapText="1"/>
    </xf>
    <xf numFmtId="3" fontId="36" fillId="13" borderId="12" xfId="5" applyNumberFormat="1" applyFont="1" applyFill="1" applyBorder="1" applyAlignment="1">
      <alignment vertical="center" wrapText="1"/>
    </xf>
    <xf numFmtId="0" fontId="32" fillId="0" borderId="0" xfId="5" applyAlignment="1">
      <alignment vertical="center"/>
    </xf>
    <xf numFmtId="0" fontId="39" fillId="13" borderId="1" xfId="5" applyFont="1" applyFill="1" applyBorder="1" applyAlignment="1">
      <alignment horizontal="center" vertical="center" wrapText="1"/>
    </xf>
    <xf numFmtId="0" fontId="39" fillId="0" borderId="41" xfId="5" applyFont="1" applyBorder="1" applyAlignment="1">
      <alignment vertical="center" wrapText="1"/>
    </xf>
    <xf numFmtId="0" fontId="40" fillId="0" borderId="41" xfId="5" applyFont="1" applyBorder="1" applyAlignment="1">
      <alignment horizontal="justify" vertical="center" wrapText="1"/>
    </xf>
    <xf numFmtId="0" fontId="39" fillId="0" borderId="45" xfId="5" applyFont="1" applyBorder="1" applyAlignment="1">
      <alignment vertical="center" wrapText="1"/>
    </xf>
    <xf numFmtId="0" fontId="40" fillId="0" borderId="45" xfId="5" applyFont="1" applyBorder="1" applyAlignment="1">
      <alignment horizontal="justify" vertical="center" wrapText="1"/>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31" fillId="12" borderId="15" xfId="5" applyFont="1" applyFill="1" applyBorder="1" applyAlignment="1">
      <alignment vertical="center" wrapText="1"/>
    </xf>
    <xf numFmtId="0" fontId="31" fillId="12" borderId="7"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30" fillId="11" borderId="14" xfId="0"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4" fillId="3" borderId="30" xfId="0" applyFont="1" applyFill="1" applyBorder="1" applyAlignment="1">
      <alignment vertical="top" wrapText="1"/>
    </xf>
    <xf numFmtId="49" fontId="44" fillId="0" borderId="53" xfId="5" applyNumberFormat="1" applyFont="1" applyBorder="1" applyAlignment="1">
      <alignment vertical="center" wrapText="1"/>
    </xf>
    <xf numFmtId="49" fontId="45" fillId="0" borderId="52" xfId="5" applyNumberFormat="1" applyFont="1" applyBorder="1" applyAlignment="1">
      <alignment horizontal="center" vertical="center" wrapText="1"/>
    </xf>
    <xf numFmtId="49" fontId="44" fillId="9" borderId="52" xfId="5" applyNumberFormat="1" applyFont="1" applyFill="1" applyBorder="1" applyAlignment="1">
      <alignment horizontal="center" vertical="center" wrapText="1"/>
    </xf>
    <xf numFmtId="0" fontId="22" fillId="0" borderId="0" xfId="0" applyFont="1" applyAlignment="1">
      <alignment horizontal="center" wrapText="1"/>
    </xf>
    <xf numFmtId="49" fontId="44" fillId="19" borderId="52" xfId="5" applyNumberFormat="1" applyFont="1" applyFill="1" applyBorder="1" applyAlignment="1">
      <alignment horizontal="center" vertical="center"/>
    </xf>
    <xf numFmtId="49" fontId="46" fillId="19" borderId="52" xfId="5" applyNumberFormat="1" applyFont="1" applyFill="1" applyBorder="1" applyAlignment="1">
      <alignment horizontal="center" vertical="center"/>
    </xf>
    <xf numFmtId="0" fontId="44" fillId="19" borderId="52" xfId="5" applyFont="1" applyFill="1" applyBorder="1" applyAlignment="1">
      <alignment horizontal="left" vertical="center"/>
    </xf>
    <xf numFmtId="170" fontId="44" fillId="19" borderId="52" xfId="4" applyNumberFormat="1" applyFont="1" applyFill="1" applyBorder="1" applyAlignment="1">
      <alignment horizontal="right" vertical="center"/>
    </xf>
    <xf numFmtId="49" fontId="44" fillId="20" borderId="52" xfId="5" applyNumberFormat="1" applyFont="1" applyFill="1" applyBorder="1" applyAlignment="1">
      <alignment horizontal="center" vertical="center"/>
    </xf>
    <xf numFmtId="49" fontId="46" fillId="20" borderId="52" xfId="5" applyNumberFormat="1" applyFont="1" applyFill="1" applyBorder="1" applyAlignment="1">
      <alignment horizontal="center" vertical="center"/>
    </xf>
    <xf numFmtId="170" fontId="44" fillId="20" borderId="52" xfId="4" applyNumberFormat="1" applyFont="1" applyFill="1" applyBorder="1" applyAlignment="1">
      <alignment horizontal="right" vertical="center"/>
    </xf>
    <xf numFmtId="0" fontId="44" fillId="0" borderId="52" xfId="5" applyFont="1" applyBorder="1" applyAlignment="1">
      <alignment horizontal="center" vertical="center"/>
    </xf>
    <xf numFmtId="0" fontId="46" fillId="0" borderId="52" xfId="5" applyFont="1" applyBorder="1" applyAlignment="1">
      <alignment horizontal="center" vertical="center"/>
    </xf>
    <xf numFmtId="170" fontId="44" fillId="0" borderId="52" xfId="4" applyNumberFormat="1" applyFont="1" applyFill="1" applyBorder="1" applyAlignment="1">
      <alignment horizontal="right" vertical="center"/>
    </xf>
    <xf numFmtId="170" fontId="46" fillId="0" borderId="52" xfId="4" applyNumberFormat="1" applyFont="1" applyFill="1" applyBorder="1" applyAlignment="1">
      <alignment horizontal="right" vertical="center"/>
    </xf>
    <xf numFmtId="166" fontId="44" fillId="0" borderId="52" xfId="4" applyFont="1" applyFill="1" applyBorder="1" applyAlignment="1">
      <alignment horizontal="right" vertical="center"/>
    </xf>
    <xf numFmtId="166" fontId="46" fillId="0" borderId="52" xfId="4" applyFont="1" applyFill="1" applyBorder="1" applyAlignment="1">
      <alignment horizontal="right" vertical="center"/>
    </xf>
    <xf numFmtId="166" fontId="44" fillId="0" borderId="52" xfId="4" applyFont="1" applyFill="1" applyBorder="1" applyAlignment="1">
      <alignment horizontal="left" vertical="center"/>
    </xf>
    <xf numFmtId="10" fontId="44" fillId="0" borderId="52" xfId="3" applyNumberFormat="1" applyFont="1" applyFill="1" applyBorder="1" applyAlignment="1">
      <alignment horizontal="left" vertical="center"/>
    </xf>
    <xf numFmtId="167" fontId="0" fillId="0" borderId="0" xfId="0" applyNumberFormat="1"/>
    <xf numFmtId="0" fontId="45" fillId="0" borderId="56" xfId="0" applyFont="1" applyBorder="1" applyAlignment="1">
      <alignment horizontal="center" vertical="center"/>
    </xf>
    <xf numFmtId="167" fontId="47" fillId="21" borderId="57" xfId="0" applyNumberFormat="1" applyFont="1" applyFill="1" applyBorder="1" applyAlignment="1">
      <alignment horizontal="center" vertical="center" wrapText="1"/>
    </xf>
    <xf numFmtId="49" fontId="47" fillId="22" borderId="58" xfId="0" applyNumberFormat="1" applyFont="1" applyFill="1" applyBorder="1" applyAlignment="1">
      <alignment horizontal="center" vertical="center"/>
    </xf>
    <xf numFmtId="0" fontId="33" fillId="22" borderId="58" xfId="0" applyFont="1" applyFill="1" applyBorder="1"/>
    <xf numFmtId="167" fontId="33" fillId="22" borderId="58" xfId="4" applyNumberFormat="1" applyFont="1" applyFill="1" applyBorder="1" applyAlignment="1">
      <alignment horizontal="center"/>
    </xf>
    <xf numFmtId="171" fontId="33" fillId="22" borderId="58" xfId="4" applyNumberFormat="1" applyFont="1" applyFill="1" applyBorder="1" applyAlignment="1">
      <alignment horizontal="center"/>
    </xf>
    <xf numFmtId="0" fontId="50" fillId="0" borderId="56" xfId="0" applyFont="1" applyBorder="1" applyAlignment="1">
      <alignment horizontal="left" vertical="center"/>
    </xf>
    <xf numFmtId="49" fontId="47" fillId="23" borderId="58" xfId="0" applyNumberFormat="1" applyFont="1" applyFill="1" applyBorder="1" applyAlignment="1">
      <alignment horizontal="center" vertical="center"/>
    </xf>
    <xf numFmtId="0" fontId="33" fillId="23" borderId="58" xfId="0" applyFont="1" applyFill="1" applyBorder="1"/>
    <xf numFmtId="172" fontId="33" fillId="23" borderId="58" xfId="4" applyNumberFormat="1" applyFont="1" applyFill="1" applyBorder="1" applyAlignment="1">
      <alignment horizontal="center"/>
    </xf>
    <xf numFmtId="0" fontId="47" fillId="23" borderId="58" xfId="0" applyFont="1" applyFill="1" applyBorder="1" applyAlignment="1">
      <alignment horizontal="center" vertical="center"/>
    </xf>
    <xf numFmtId="0" fontId="51" fillId="0" borderId="58" xfId="0" applyFont="1" applyBorder="1" applyAlignment="1">
      <alignment horizontal="center" vertical="center"/>
    </xf>
    <xf numFmtId="49" fontId="51" fillId="0" borderId="58" xfId="0" applyNumberFormat="1" applyFont="1" applyBorder="1" applyAlignment="1">
      <alignment horizontal="center" vertical="center"/>
    </xf>
    <xf numFmtId="49" fontId="47" fillId="0" borderId="58" xfId="0" applyNumberFormat="1" applyFont="1" applyBorder="1" applyAlignment="1">
      <alignment horizontal="center" vertical="center"/>
    </xf>
    <xf numFmtId="0" fontId="30" fillId="0" borderId="58" xfId="0" applyFont="1" applyBorder="1"/>
    <xf numFmtId="167" fontId="30" fillId="0" borderId="58" xfId="4" applyNumberFormat="1" applyFont="1" applyBorder="1" applyAlignment="1">
      <alignment horizontal="center"/>
    </xf>
    <xf numFmtId="172" fontId="30" fillId="0" borderId="58" xfId="4" applyNumberFormat="1" applyFont="1" applyBorder="1" applyAlignment="1">
      <alignment horizontal="center"/>
    </xf>
    <xf numFmtId="0" fontId="52" fillId="0" borderId="0" xfId="0" applyFont="1"/>
    <xf numFmtId="0" fontId="47" fillId="24" borderId="58" xfId="0" applyFont="1" applyFill="1" applyBorder="1" applyAlignment="1">
      <alignment horizontal="center" vertical="center"/>
    </xf>
    <xf numFmtId="49" fontId="47" fillId="24" borderId="58" xfId="0" applyNumberFormat="1" applyFont="1" applyFill="1" applyBorder="1" applyAlignment="1">
      <alignment horizontal="center" vertical="center"/>
    </xf>
    <xf numFmtId="0" fontId="33" fillId="24" borderId="58" xfId="0" applyFont="1" applyFill="1" applyBorder="1"/>
    <xf numFmtId="172" fontId="33" fillId="24" borderId="58" xfId="4" applyNumberFormat="1" applyFont="1" applyFill="1" applyBorder="1" applyAlignment="1">
      <alignment horizontal="center"/>
    </xf>
    <xf numFmtId="167" fontId="30" fillId="0" borderId="58" xfId="4" applyNumberFormat="1" applyFont="1" applyFill="1" applyBorder="1" applyAlignment="1">
      <alignment horizontal="center"/>
    </xf>
    <xf numFmtId="172" fontId="30" fillId="0" borderId="58" xfId="4" applyNumberFormat="1" applyFont="1" applyFill="1" applyBorder="1" applyAlignment="1">
      <alignment horizontal="center"/>
    </xf>
    <xf numFmtId="0" fontId="49" fillId="0" borderId="0" xfId="0" applyFont="1"/>
    <xf numFmtId="0" fontId="47" fillId="0" borderId="58" xfId="0" applyFont="1" applyBorder="1" applyAlignment="1">
      <alignment horizontal="center" vertical="center"/>
    </xf>
    <xf numFmtId="0" fontId="33" fillId="0" borderId="58" xfId="0" applyFont="1" applyBorder="1"/>
    <xf numFmtId="172" fontId="33" fillId="0" borderId="58" xfId="4" applyNumberFormat="1" applyFont="1" applyFill="1" applyBorder="1" applyAlignment="1">
      <alignment horizontal="center"/>
    </xf>
    <xf numFmtId="0" fontId="51" fillId="24" borderId="58" xfId="0" applyFont="1" applyFill="1" applyBorder="1" applyAlignment="1">
      <alignment horizontal="center" vertical="center"/>
    </xf>
    <xf numFmtId="49" fontId="51" fillId="24" borderId="58" xfId="0" applyNumberFormat="1" applyFont="1" applyFill="1" applyBorder="1" applyAlignment="1">
      <alignment horizontal="center" vertical="center"/>
    </xf>
    <xf numFmtId="167" fontId="30" fillId="24" borderId="58" xfId="4" applyNumberFormat="1" applyFont="1" applyFill="1" applyBorder="1" applyAlignment="1">
      <alignment horizontal="center"/>
    </xf>
    <xf numFmtId="172" fontId="30" fillId="24" borderId="58" xfId="4" applyNumberFormat="1" applyFont="1" applyFill="1" applyBorder="1" applyAlignment="1">
      <alignment horizontal="center"/>
    </xf>
    <xf numFmtId="172" fontId="33" fillId="23" borderId="58" xfId="4" applyNumberFormat="1" applyFont="1" applyFill="1" applyBorder="1"/>
    <xf numFmtId="172" fontId="33" fillId="24" borderId="58" xfId="4" applyNumberFormat="1" applyFont="1" applyFill="1" applyBorder="1"/>
    <xf numFmtId="172" fontId="30" fillId="0" borderId="58" xfId="4" applyNumberFormat="1" applyFont="1" applyBorder="1"/>
    <xf numFmtId="172" fontId="33" fillId="22" borderId="58" xfId="4" applyNumberFormat="1" applyFont="1" applyFill="1" applyBorder="1" applyAlignment="1">
      <alignment horizontal="center"/>
    </xf>
    <xf numFmtId="0" fontId="51" fillId="23" borderId="58" xfId="0" applyFont="1" applyFill="1" applyBorder="1" applyAlignment="1">
      <alignment horizontal="center" vertical="center"/>
    </xf>
    <xf numFmtId="167" fontId="30" fillId="23" borderId="58" xfId="4" applyNumberFormat="1" applyFont="1" applyFill="1" applyBorder="1" applyAlignment="1">
      <alignment horizontal="center"/>
    </xf>
    <xf numFmtId="0" fontId="30" fillId="24" borderId="58" xfId="0" quotePrefix="1" applyFont="1" applyFill="1" applyBorder="1" applyAlignment="1">
      <alignment horizontal="left"/>
    </xf>
    <xf numFmtId="0" fontId="30" fillId="0" borderId="58" xfId="0" quotePrefix="1" applyFont="1" applyBorder="1" applyAlignment="1">
      <alignment horizontal="left"/>
    </xf>
    <xf numFmtId="167" fontId="51" fillId="23" borderId="58" xfId="4" applyNumberFormat="1" applyFont="1" applyFill="1" applyBorder="1" applyAlignment="1">
      <alignment horizontal="center" vertical="center"/>
    </xf>
    <xf numFmtId="166" fontId="51" fillId="23" borderId="58" xfId="4" applyFont="1" applyFill="1" applyBorder="1" applyAlignment="1">
      <alignment horizontal="center" vertical="center"/>
    </xf>
    <xf numFmtId="0" fontId="30" fillId="24" borderId="58" xfId="0" quotePrefix="1" applyFont="1" applyFill="1" applyBorder="1" applyAlignment="1">
      <alignment horizontal="center"/>
    </xf>
    <xf numFmtId="167" fontId="30" fillId="24" borderId="58" xfId="4" quotePrefix="1" applyNumberFormat="1" applyFont="1" applyFill="1" applyBorder="1" applyAlignment="1">
      <alignment horizontal="left"/>
    </xf>
    <xf numFmtId="166" fontId="30" fillId="24" borderId="58" xfId="4" quotePrefix="1" applyFont="1" applyFill="1" applyBorder="1" applyAlignment="1">
      <alignment horizontal="left"/>
    </xf>
    <xf numFmtId="0" fontId="53" fillId="0" borderId="0" xfId="0" applyFont="1" applyAlignment="1">
      <alignment horizontal="left" vertical="center"/>
    </xf>
    <xf numFmtId="0" fontId="33" fillId="13" borderId="12" xfId="5" applyFont="1" applyFill="1" applyBorder="1" applyAlignment="1">
      <alignment horizontal="center" vertical="center" wrapText="1"/>
    </xf>
    <xf numFmtId="49" fontId="54" fillId="0" borderId="49" xfId="5" quotePrefix="1" applyNumberFormat="1" applyFont="1" applyBorder="1" applyAlignment="1">
      <alignment horizontal="left" vertical="center" wrapText="1"/>
    </xf>
    <xf numFmtId="0" fontId="55" fillId="0" borderId="49" xfId="0" quotePrefix="1" applyFont="1" applyBorder="1" applyAlignment="1">
      <alignment horizontal="left" vertical="center" wrapText="1"/>
    </xf>
    <xf numFmtId="49" fontId="54" fillId="0" borderId="52" xfId="5" applyNumberFormat="1" applyFont="1" applyBorder="1" applyAlignment="1">
      <alignment horizontal="left" vertical="center" wrapText="1"/>
    </xf>
    <xf numFmtId="0" fontId="55" fillId="0" borderId="49" xfId="0" applyFont="1" applyBorder="1" applyAlignment="1">
      <alignment vertical="center" wrapText="1"/>
    </xf>
    <xf numFmtId="49" fontId="33" fillId="0" borderId="52" xfId="5" applyNumberFormat="1" applyFont="1" applyBorder="1" applyAlignment="1">
      <alignment horizontal="left" vertical="center" wrapText="1"/>
    </xf>
    <xf numFmtId="49" fontId="54" fillId="9" borderId="52" xfId="5" applyNumberFormat="1" applyFont="1" applyFill="1" applyBorder="1" applyAlignment="1">
      <alignment horizontal="left" vertical="center" wrapText="1"/>
    </xf>
    <xf numFmtId="49" fontId="54" fillId="9" borderId="53" xfId="5" applyNumberFormat="1" applyFont="1" applyFill="1" applyBorder="1" applyAlignment="1">
      <alignment horizontal="left" vertical="center" wrapText="1"/>
    </xf>
    <xf numFmtId="49" fontId="54" fillId="0" borderId="53" xfId="5" applyNumberFormat="1" applyFont="1" applyBorder="1" applyAlignment="1">
      <alignment horizontal="left" vertical="center" wrapText="1"/>
    </xf>
    <xf numFmtId="49" fontId="53" fillId="0" borderId="52" xfId="5" quotePrefix="1" applyNumberFormat="1" applyFont="1" applyBorder="1" applyAlignment="1">
      <alignment horizontal="left" vertical="center" wrapText="1"/>
    </xf>
    <xf numFmtId="49" fontId="54" fillId="0" borderId="52" xfId="5" quotePrefix="1" applyNumberFormat="1" applyFont="1" applyBorder="1" applyAlignment="1">
      <alignment horizontal="left" vertical="center" wrapText="1"/>
    </xf>
    <xf numFmtId="0" fontId="53" fillId="0" borderId="0" xfId="0" applyFont="1"/>
    <xf numFmtId="0" fontId="30" fillId="0" borderId="16" xfId="2" applyFont="1" applyBorder="1" applyAlignment="1" applyProtection="1">
      <alignment horizontal="left" vertical="top"/>
    </xf>
    <xf numFmtId="3" fontId="36" fillId="0" borderId="19" xfId="5" applyNumberFormat="1" applyFont="1" applyBorder="1" applyAlignment="1">
      <alignment vertical="center" wrapText="1"/>
    </xf>
    <xf numFmtId="3" fontId="36" fillId="0" borderId="16" xfId="5" applyNumberFormat="1" applyFont="1" applyBorder="1" applyAlignment="1">
      <alignment vertical="center" wrapText="1"/>
    </xf>
    <xf numFmtId="3" fontId="36" fillId="0" borderId="34" xfId="5" applyNumberFormat="1" applyFont="1" applyBorder="1" applyAlignment="1">
      <alignment vertical="center" wrapText="1"/>
    </xf>
    <xf numFmtId="10" fontId="34" fillId="13" borderId="7" xfId="3" applyNumberFormat="1" applyFont="1" applyFill="1" applyBorder="1" applyAlignment="1">
      <alignment horizontal="center" vertical="center" wrapText="1"/>
    </xf>
    <xf numFmtId="9" fontId="4" fillId="3" borderId="7" xfId="0" applyNumberFormat="1" applyFont="1" applyFill="1" applyBorder="1" applyAlignment="1" applyProtection="1">
      <alignment vertical="top"/>
      <protection locked="0"/>
    </xf>
    <xf numFmtId="173"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4" fillId="26" borderId="8" xfId="0" applyFont="1" applyFill="1" applyBorder="1" applyAlignment="1">
      <alignment vertical="top" wrapText="1"/>
    </xf>
    <xf numFmtId="0" fontId="44" fillId="0" borderId="52" xfId="5" applyFont="1" applyBorder="1" applyAlignment="1">
      <alignment horizontal="left" vertical="center"/>
    </xf>
    <xf numFmtId="0" fontId="46" fillId="0" borderId="52" xfId="5" applyFont="1" applyBorder="1" applyAlignment="1">
      <alignment horizontal="left" vertical="center"/>
    </xf>
    <xf numFmtId="0" fontId="44" fillId="9" borderId="52" xfId="5" applyFont="1" applyFill="1" applyBorder="1" applyAlignment="1">
      <alignment horizontal="left" vertical="center"/>
    </xf>
    <xf numFmtId="0" fontId="44" fillId="0" borderId="53" xfId="5" applyFont="1" applyBorder="1" applyAlignment="1">
      <alignment vertical="center" wrapText="1"/>
    </xf>
    <xf numFmtId="49" fontId="46" fillId="0" borderId="52" xfId="5" applyNumberFormat="1" applyFont="1" applyBorder="1" applyAlignment="1">
      <alignment horizontal="center" vertical="center"/>
    </xf>
    <xf numFmtId="10" fontId="44" fillId="0" borderId="52" xfId="3" applyNumberFormat="1" applyFont="1" applyFill="1" applyBorder="1" applyAlignment="1">
      <alignment horizontal="right" vertical="center"/>
    </xf>
    <xf numFmtId="10" fontId="46" fillId="0" borderId="52" xfId="3" applyNumberFormat="1" applyFont="1" applyFill="1" applyBorder="1" applyAlignment="1">
      <alignment horizontal="right" vertical="center"/>
    </xf>
    <xf numFmtId="169" fontId="46" fillId="0" borderId="52" xfId="4" applyNumberFormat="1" applyFont="1" applyFill="1" applyBorder="1" applyAlignment="1">
      <alignment horizontal="left" vertical="center"/>
    </xf>
    <xf numFmtId="169" fontId="44" fillId="19" borderId="52" xfId="4" applyNumberFormat="1" applyFont="1" applyFill="1" applyBorder="1" applyAlignment="1">
      <alignment horizontal="left" vertical="center"/>
    </xf>
    <xf numFmtId="169" fontId="44" fillId="0" borderId="52" xfId="4" applyNumberFormat="1" applyFont="1" applyFill="1" applyBorder="1" applyAlignment="1">
      <alignment horizontal="left" vertical="center"/>
    </xf>
    <xf numFmtId="49" fontId="44" fillId="20" borderId="52" xfId="5" applyNumberFormat="1" applyFont="1" applyFill="1" applyBorder="1" applyAlignment="1">
      <alignment horizontal="left" vertical="center"/>
    </xf>
    <xf numFmtId="0" fontId="22" fillId="20" borderId="0" xfId="0" applyFont="1" applyFill="1"/>
    <xf numFmtId="49" fontId="47" fillId="27" borderId="58" xfId="0" applyNumberFormat="1" applyFont="1" applyFill="1" applyBorder="1" applyAlignment="1">
      <alignment horizontal="center" vertical="center"/>
    </xf>
    <xf numFmtId="0" fontId="51" fillId="27" borderId="58" xfId="0" applyFont="1" applyFill="1" applyBorder="1" applyAlignment="1">
      <alignment horizontal="center" vertical="center"/>
    </xf>
    <xf numFmtId="0" fontId="61" fillId="0" borderId="41" xfId="5" applyFont="1" applyBorder="1" applyAlignment="1">
      <alignment vertical="center" wrapText="1"/>
    </xf>
    <xf numFmtId="0" fontId="62" fillId="0" borderId="41" xfId="5" applyFont="1" applyBorder="1" applyAlignment="1">
      <alignment horizontal="justify" vertical="center" wrapText="1"/>
    </xf>
    <xf numFmtId="0" fontId="63" fillId="0" borderId="0" xfId="5" applyFont="1" applyAlignment="1">
      <alignment vertical="center"/>
    </xf>
    <xf numFmtId="3" fontId="37" fillId="0" borderId="19" xfId="5" applyNumberFormat="1" applyFont="1" applyBorder="1" applyAlignment="1">
      <alignment vertical="center" wrapText="1"/>
    </xf>
    <xf numFmtId="49" fontId="44" fillId="0" borderId="52" xfId="5" applyNumberFormat="1" applyFont="1" applyBorder="1" applyAlignment="1">
      <alignment horizontal="center" vertical="center"/>
    </xf>
    <xf numFmtId="49" fontId="46" fillId="0" borderId="53" xfId="5" applyNumberFormat="1" applyFont="1" applyBorder="1" applyAlignment="1">
      <alignment vertical="center" wrapText="1"/>
    </xf>
    <xf numFmtId="49" fontId="46" fillId="0" borderId="53" xfId="5" quotePrefix="1" applyNumberFormat="1" applyFont="1" applyBorder="1" applyAlignment="1">
      <alignment vertical="center" wrapText="1"/>
    </xf>
    <xf numFmtId="49" fontId="44" fillId="0" borderId="52" xfId="5" applyNumberFormat="1" applyFont="1" applyBorder="1" applyAlignment="1">
      <alignment horizontal="left" vertical="center"/>
    </xf>
    <xf numFmtId="0" fontId="46" fillId="20" borderId="52" xfId="5" applyFont="1" applyFill="1" applyBorder="1" applyAlignment="1">
      <alignment horizontal="center" vertical="center"/>
    </xf>
    <xf numFmtId="0" fontId="44" fillId="20" borderId="52" xfId="5" applyFont="1" applyFill="1" applyBorder="1" applyAlignment="1">
      <alignment horizontal="left" vertical="center"/>
    </xf>
    <xf numFmtId="1" fontId="46" fillId="0" borderId="52" xfId="5" applyNumberFormat="1" applyFont="1" applyBorder="1" applyAlignment="1">
      <alignment horizontal="center" vertical="center"/>
    </xf>
    <xf numFmtId="0" fontId="46" fillId="0" borderId="0" xfId="5" applyFont="1" applyAlignment="1">
      <alignment horizontal="center" vertical="center"/>
    </xf>
    <xf numFmtId="49" fontId="46" fillId="0" borderId="0" xfId="5" applyNumberFormat="1" applyFont="1" applyAlignment="1">
      <alignment horizontal="center" vertical="center"/>
    </xf>
    <xf numFmtId="0" fontId="46" fillId="0" borderId="0" xfId="5" applyFont="1" applyAlignment="1">
      <alignment horizontal="left" vertical="center"/>
    </xf>
    <xf numFmtId="170" fontId="46" fillId="0" borderId="0" xfId="4" applyNumberFormat="1" applyFont="1" applyFill="1" applyBorder="1" applyAlignment="1">
      <alignment horizontal="right" vertical="center"/>
    </xf>
    <xf numFmtId="10" fontId="46" fillId="0" borderId="0" xfId="3" applyNumberFormat="1" applyFont="1" applyFill="1" applyBorder="1" applyAlignment="1">
      <alignment horizontal="right" vertical="center"/>
    </xf>
    <xf numFmtId="49" fontId="44" fillId="0" borderId="0" xfId="5" applyNumberFormat="1" applyFont="1" applyAlignment="1">
      <alignment horizontal="left" vertical="center"/>
    </xf>
    <xf numFmtId="49" fontId="44" fillId="0" borderId="0" xfId="5" applyNumberFormat="1" applyFont="1" applyAlignment="1">
      <alignment horizontal="center" vertical="center"/>
    </xf>
    <xf numFmtId="0" fontId="44" fillId="0" borderId="0" xfId="5" applyFont="1" applyAlignment="1">
      <alignment horizontal="left" vertical="center"/>
    </xf>
    <xf numFmtId="170" fontId="44" fillId="0" borderId="0" xfId="4" applyNumberFormat="1" applyFont="1" applyFill="1" applyBorder="1" applyAlignment="1">
      <alignment horizontal="right" vertical="center"/>
    </xf>
    <xf numFmtId="10" fontId="44" fillId="0" borderId="0" xfId="3" applyNumberFormat="1" applyFont="1" applyFill="1" applyBorder="1" applyAlignment="1">
      <alignment horizontal="right" vertical="center"/>
    </xf>
    <xf numFmtId="0" fontId="44" fillId="0" borderId="0" xfId="5" applyFont="1" applyAlignment="1">
      <alignment horizontal="center" vertical="center"/>
    </xf>
    <xf numFmtId="166" fontId="44" fillId="0" borderId="0" xfId="4" applyFont="1" applyFill="1" applyBorder="1" applyAlignment="1">
      <alignment horizontal="right" vertical="center"/>
    </xf>
    <xf numFmtId="166" fontId="46" fillId="0" borderId="0" xfId="4" applyFont="1" applyFill="1" applyBorder="1" applyAlignment="1">
      <alignment horizontal="right" vertical="center"/>
    </xf>
    <xf numFmtId="0" fontId="46" fillId="0" borderId="49" xfId="5" applyFont="1" applyBorder="1" applyAlignment="1">
      <alignment horizontal="center" vertical="center"/>
    </xf>
    <xf numFmtId="49" fontId="46" fillId="0" borderId="49" xfId="5" applyNumberFormat="1" applyFont="1" applyBorder="1" applyAlignment="1">
      <alignment horizontal="center" vertical="center"/>
    </xf>
    <xf numFmtId="0" fontId="46" fillId="0" borderId="49" xfId="5" applyFont="1" applyBorder="1" applyAlignment="1">
      <alignment horizontal="left" vertical="center"/>
    </xf>
    <xf numFmtId="166" fontId="46" fillId="0" borderId="49" xfId="4" applyFont="1" applyFill="1" applyBorder="1" applyAlignment="1">
      <alignment horizontal="right" vertical="center"/>
    </xf>
    <xf numFmtId="10" fontId="46" fillId="0" borderId="49" xfId="3" applyNumberFormat="1" applyFont="1" applyFill="1" applyBorder="1" applyAlignment="1">
      <alignment horizontal="right" vertical="center"/>
    </xf>
    <xf numFmtId="49" fontId="44" fillId="0" borderId="49" xfId="5" applyNumberFormat="1" applyFont="1" applyBorder="1" applyAlignment="1">
      <alignment horizontal="left" vertical="center"/>
    </xf>
    <xf numFmtId="0" fontId="46" fillId="19" borderId="52" xfId="5" applyFont="1" applyFill="1" applyBorder="1" applyAlignment="1">
      <alignment horizontal="left" vertical="center"/>
    </xf>
    <xf numFmtId="0" fontId="39" fillId="0" borderId="44" xfId="5" applyFont="1" applyBorder="1" applyAlignment="1">
      <alignment vertical="center" wrapText="1"/>
    </xf>
    <xf numFmtId="0" fontId="40" fillId="0" borderId="44" xfId="5" applyFont="1" applyBorder="1" applyAlignment="1">
      <alignment horizontal="justify" vertical="center" wrapText="1"/>
    </xf>
    <xf numFmtId="0" fontId="4" fillId="3" borderId="14" xfId="0" applyFont="1" applyFill="1" applyBorder="1" applyAlignment="1" applyProtection="1">
      <alignment vertical="top"/>
      <protection locked="0"/>
    </xf>
    <xf numFmtId="0" fontId="17" fillId="0" borderId="35" xfId="2" applyBorder="1" applyAlignment="1">
      <alignment vertical="center"/>
    </xf>
    <xf numFmtId="0" fontId="0" fillId="0" borderId="39" xfId="0" applyBorder="1" applyAlignment="1">
      <alignment horizontal="left" vertical="center"/>
    </xf>
    <xf numFmtId="0" fontId="0" fillId="0" borderId="16" xfId="0" applyBorder="1" applyAlignment="1" applyProtection="1">
      <alignment horizontal="center" vertical="center"/>
      <protection locked="0"/>
    </xf>
    <xf numFmtId="0" fontId="14" fillId="0" borderId="0" xfId="0" applyFont="1" applyAlignment="1" applyProtection="1">
      <alignment vertical="top" wrapText="1"/>
      <protection locked="0"/>
    </xf>
    <xf numFmtId="0" fontId="7" fillId="3" borderId="37" xfId="0" applyFont="1" applyFill="1" applyBorder="1" applyAlignment="1" applyProtection="1">
      <alignment horizontal="center" vertical="top"/>
      <protection locked="0"/>
    </xf>
    <xf numFmtId="0" fontId="0" fillId="0" borderId="27" xfId="0" applyBorder="1" applyAlignment="1" applyProtection="1">
      <alignment vertical="top"/>
      <protection hidden="1"/>
    </xf>
    <xf numFmtId="0" fontId="0" fillId="0" borderId="0" xfId="0" applyAlignment="1" applyProtection="1">
      <alignment vertical="top"/>
      <protection hidden="1"/>
    </xf>
    <xf numFmtId="0" fontId="0" fillId="0" borderId="27" xfId="0" applyBorder="1" applyAlignment="1" applyProtection="1">
      <alignment vertical="top" wrapText="1"/>
      <protection locked="0"/>
    </xf>
    <xf numFmtId="0" fontId="0" fillId="0" borderId="0" xfId="0" applyAlignment="1" applyProtection="1">
      <alignment vertical="top" wrapText="1"/>
      <protection locked="0"/>
    </xf>
    <xf numFmtId="0" fontId="4" fillId="3" borderId="18" xfId="0" applyFont="1" applyFill="1" applyBorder="1" applyAlignment="1" applyProtection="1">
      <alignment horizontal="center" vertical="top" wrapText="1"/>
      <protection locked="0"/>
    </xf>
    <xf numFmtId="0" fontId="7" fillId="3" borderId="18" xfId="0" applyFont="1" applyFill="1" applyBorder="1" applyAlignment="1" applyProtection="1">
      <alignment horizontal="center" vertical="top"/>
      <protection locked="0"/>
    </xf>
    <xf numFmtId="0" fontId="7" fillId="0" borderId="3" xfId="0" applyFont="1" applyBorder="1" applyAlignment="1">
      <alignment vertical="top" wrapText="1"/>
    </xf>
    <xf numFmtId="0" fontId="4" fillId="5" borderId="13" xfId="0" applyFont="1" applyFill="1" applyBorder="1" applyAlignment="1" applyProtection="1">
      <alignment vertical="top"/>
      <protection locked="0"/>
    </xf>
    <xf numFmtId="3" fontId="27" fillId="3" borderId="8" xfId="0" applyNumberFormat="1" applyFont="1" applyFill="1" applyBorder="1" applyAlignment="1" applyProtection="1">
      <alignment vertical="top"/>
      <protection locked="0"/>
    </xf>
    <xf numFmtId="0" fontId="30" fillId="11" borderId="14" xfId="0" applyFont="1" applyFill="1" applyBorder="1" applyAlignment="1">
      <alignment vertical="center"/>
    </xf>
    <xf numFmtId="3" fontId="0" fillId="3" borderId="16" xfId="0" applyNumberFormat="1" applyFill="1" applyBorder="1" applyAlignment="1">
      <alignment vertical="top"/>
    </xf>
    <xf numFmtId="3" fontId="27" fillId="3" borderId="8" xfId="0" applyNumberFormat="1" applyFont="1" applyFill="1" applyBorder="1" applyAlignment="1" applyProtection="1">
      <alignment vertical="top" wrapText="1"/>
      <protection locked="0"/>
    </xf>
    <xf numFmtId="0" fontId="27" fillId="3" borderId="7" xfId="0" applyFont="1" applyFill="1" applyBorder="1" applyAlignment="1" applyProtection="1">
      <alignment horizontal="center" vertical="top" wrapText="1"/>
      <protection locked="0"/>
    </xf>
    <xf numFmtId="169" fontId="27" fillId="3" borderId="16" xfId="0" applyNumberFormat="1" applyFont="1" applyFill="1" applyBorder="1" applyAlignment="1" applyProtection="1">
      <alignment horizontal="right" vertical="top"/>
      <protection locked="0"/>
    </xf>
    <xf numFmtId="169" fontId="27" fillId="3" borderId="16" xfId="4" applyNumberFormat="1" applyFont="1" applyFill="1" applyBorder="1" applyAlignment="1" applyProtection="1">
      <alignment horizontal="right" vertical="top"/>
      <protection locked="0"/>
    </xf>
    <xf numFmtId="0" fontId="17" fillId="3" borderId="8" xfId="2" applyFill="1" applyBorder="1" applyAlignment="1" applyProtection="1">
      <alignment horizontal="left" vertical="top"/>
      <protection locked="0"/>
    </xf>
    <xf numFmtId="0" fontId="4" fillId="3" borderId="6" xfId="0" applyFont="1" applyFill="1" applyBorder="1" applyAlignment="1" applyProtection="1">
      <alignment horizontal="center" vertical="top"/>
      <protection locked="0"/>
    </xf>
    <xf numFmtId="0" fontId="4" fillId="3" borderId="6" xfId="0" applyFont="1" applyFill="1" applyBorder="1" applyAlignment="1" applyProtection="1">
      <alignment horizontal="center" vertical="center"/>
      <protection locked="0"/>
    </xf>
    <xf numFmtId="0" fontId="4" fillId="3" borderId="15" xfId="0" applyFont="1" applyFill="1" applyBorder="1" applyAlignment="1" applyProtection="1">
      <alignment vertical="top"/>
      <protection locked="0"/>
    </xf>
    <xf numFmtId="0" fontId="4" fillId="3" borderId="11" xfId="0" applyFont="1" applyFill="1" applyBorder="1" applyAlignment="1" applyProtection="1">
      <alignment vertical="top"/>
      <protection locked="0"/>
    </xf>
    <xf numFmtId="0" fontId="0" fillId="3" borderId="18" xfId="0" applyFill="1" applyBorder="1" applyAlignment="1" applyProtection="1">
      <alignment horizontal="center" vertical="center"/>
      <protection locked="0"/>
    </xf>
    <xf numFmtId="9" fontId="4" fillId="4" borderId="14" xfId="3" applyFont="1" applyFill="1" applyBorder="1" applyAlignment="1">
      <alignment horizontal="center" vertical="top" wrapText="1"/>
    </xf>
    <xf numFmtId="0" fontId="4" fillId="4" borderId="14" xfId="0" applyFont="1" applyFill="1" applyBorder="1" applyAlignment="1">
      <alignment horizontal="center" vertical="top" wrapText="1"/>
    </xf>
    <xf numFmtId="0" fontId="4"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9" fontId="4" fillId="0" borderId="0" xfId="3" applyFont="1" applyFill="1" applyBorder="1" applyAlignment="1">
      <alignment horizontal="center" vertical="top" wrapText="1"/>
    </xf>
    <xf numFmtId="0" fontId="4" fillId="0" borderId="2" xfId="0" applyFont="1" applyBorder="1" applyAlignment="1" applyProtection="1">
      <alignment vertical="top"/>
      <protection locked="0"/>
    </xf>
    <xf numFmtId="0" fontId="4" fillId="0" borderId="3" xfId="0" applyFont="1" applyBorder="1" applyAlignment="1" applyProtection="1">
      <alignment vertical="top"/>
      <protection locked="0"/>
    </xf>
    <xf numFmtId="0" fontId="4" fillId="0" borderId="3" xfId="0" applyFont="1" applyBorder="1" applyAlignment="1" applyProtection="1">
      <alignment horizontal="left" vertical="center"/>
      <protection locked="0"/>
    </xf>
    <xf numFmtId="0" fontId="4" fillId="0" borderId="9" xfId="0" applyFont="1" applyBorder="1" applyAlignment="1" applyProtection="1">
      <alignment vertical="top"/>
      <protection locked="0"/>
    </xf>
    <xf numFmtId="0" fontId="0" fillId="0" borderId="9" xfId="0" applyBorder="1" applyAlignment="1" applyProtection="1">
      <alignment horizontal="center" vertical="center"/>
      <protection locked="0"/>
    </xf>
    <xf numFmtId="9" fontId="4" fillId="0" borderId="9" xfId="3" applyFont="1" applyFill="1" applyBorder="1" applyAlignment="1">
      <alignment horizontal="center" vertical="top" wrapText="1"/>
    </xf>
    <xf numFmtId="0" fontId="4" fillId="0" borderId="10" xfId="0" applyFont="1" applyBorder="1" applyAlignment="1" applyProtection="1">
      <alignment vertical="top"/>
      <protection locked="0"/>
    </xf>
    <xf numFmtId="0" fontId="4" fillId="0" borderId="11" xfId="0" applyFont="1" applyBorder="1" applyAlignment="1" applyProtection="1">
      <alignment vertical="top"/>
      <protection locked="0"/>
    </xf>
    <xf numFmtId="0" fontId="4" fillId="0" borderId="11" xfId="0" applyFont="1" applyBorder="1" applyAlignment="1" applyProtection="1">
      <alignment horizontal="left" vertical="center"/>
      <protection locked="0"/>
    </xf>
    <xf numFmtId="9" fontId="64" fillId="3" borderId="8" xfId="0" applyNumberFormat="1" applyFont="1" applyFill="1" applyBorder="1" applyAlignment="1" applyProtection="1">
      <alignment vertical="top"/>
      <protection locked="0"/>
    </xf>
    <xf numFmtId="0" fontId="64" fillId="3" borderId="7" xfId="0" applyFont="1" applyFill="1" applyBorder="1" applyAlignment="1" applyProtection="1">
      <alignment horizontal="center" vertical="top"/>
      <protection locked="0"/>
    </xf>
    <xf numFmtId="3" fontId="64" fillId="3" borderId="8" xfId="0" applyNumberFormat="1" applyFont="1" applyFill="1" applyBorder="1" applyAlignment="1" applyProtection="1">
      <alignment vertical="top"/>
      <protection locked="0"/>
    </xf>
    <xf numFmtId="0" fontId="64" fillId="3" borderId="8" xfId="0" applyFont="1" applyFill="1" applyBorder="1" applyAlignment="1" applyProtection="1">
      <alignment vertical="top"/>
      <protection locked="0"/>
    </xf>
    <xf numFmtId="3" fontId="64" fillId="3" borderId="8" xfId="0" applyNumberFormat="1" applyFont="1" applyFill="1" applyBorder="1" applyAlignment="1" applyProtection="1">
      <alignment vertical="top" wrapText="1"/>
      <protection locked="0"/>
    </xf>
    <xf numFmtId="0" fontId="64" fillId="3" borderId="7" xfId="0" applyFont="1" applyFill="1" applyBorder="1" applyAlignment="1" applyProtection="1">
      <alignment horizontal="center" vertical="top" wrapText="1"/>
      <protection locked="0"/>
    </xf>
    <xf numFmtId="0" fontId="64" fillId="3" borderId="8" xfId="0" applyFont="1" applyFill="1" applyBorder="1" applyAlignment="1" applyProtection="1">
      <alignment vertical="top" wrapText="1"/>
      <protection locked="0"/>
    </xf>
    <xf numFmtId="0" fontId="17" fillId="3" borderId="8" xfId="2" applyFill="1" applyBorder="1" applyAlignment="1" applyProtection="1">
      <alignment vertical="top"/>
      <protection locked="0"/>
    </xf>
    <xf numFmtId="0" fontId="43" fillId="0" borderId="48" xfId="0" applyFont="1" applyBorder="1" applyAlignment="1">
      <alignment horizontal="center" vertical="center"/>
    </xf>
    <xf numFmtId="49" fontId="44" fillId="0" borderId="52" xfId="5" applyNumberFormat="1" applyFont="1" applyBorder="1" applyAlignment="1">
      <alignment horizontal="center" vertical="center" wrapText="1"/>
    </xf>
    <xf numFmtId="49" fontId="44" fillId="0" borderId="49" xfId="5" applyNumberFormat="1" applyFont="1" applyBorder="1" applyAlignment="1">
      <alignment horizontal="center" vertical="center"/>
    </xf>
    <xf numFmtId="49" fontId="47" fillId="21" borderId="57" xfId="0" applyNumberFormat="1" applyFont="1" applyFill="1" applyBorder="1" applyAlignment="1">
      <alignment horizontal="center" vertical="center" wrapText="1"/>
    </xf>
    <xf numFmtId="170" fontId="44" fillId="28" borderId="52" xfId="4" applyNumberFormat="1" applyFont="1" applyFill="1" applyBorder="1" applyAlignment="1">
      <alignment horizontal="right" vertical="center"/>
    </xf>
    <xf numFmtId="170" fontId="44" fillId="29" borderId="52" xfId="4" applyNumberFormat="1" applyFont="1" applyFill="1" applyBorder="1" applyAlignment="1">
      <alignment horizontal="right" vertical="center"/>
    </xf>
    <xf numFmtId="170" fontId="44" fillId="30" borderId="52" xfId="4" applyNumberFormat="1" applyFont="1" applyFill="1" applyBorder="1" applyAlignment="1">
      <alignment horizontal="right" vertical="center"/>
    </xf>
    <xf numFmtId="170" fontId="44" fillId="31" borderId="52" xfId="4" applyNumberFormat="1" applyFont="1" applyFill="1" applyBorder="1" applyAlignment="1">
      <alignment horizontal="right" vertical="center"/>
    </xf>
    <xf numFmtId="170" fontId="46" fillId="29" borderId="52" xfId="4" applyNumberFormat="1" applyFont="1" applyFill="1" applyBorder="1" applyAlignment="1">
      <alignment horizontal="right" vertical="center"/>
    </xf>
    <xf numFmtId="170" fontId="46" fillId="30" borderId="52" xfId="4" applyNumberFormat="1" applyFont="1" applyFill="1" applyBorder="1" applyAlignment="1">
      <alignment horizontal="right" vertical="center"/>
    </xf>
    <xf numFmtId="170" fontId="46" fillId="31" borderId="52" xfId="4" applyNumberFormat="1" applyFont="1" applyFill="1" applyBorder="1" applyAlignment="1">
      <alignment horizontal="right" vertical="center"/>
    </xf>
    <xf numFmtId="170" fontId="46" fillId="28" borderId="52" xfId="4" applyNumberFormat="1" applyFont="1" applyFill="1" applyBorder="1" applyAlignment="1">
      <alignment horizontal="right" vertical="center"/>
    </xf>
    <xf numFmtId="0" fontId="46" fillId="0" borderId="52" xfId="5" applyFont="1" applyBorder="1" applyAlignment="1">
      <alignment horizontal="left" vertical="center" wrapText="1"/>
    </xf>
    <xf numFmtId="170" fontId="46" fillId="0" borderId="52" xfId="4" applyNumberFormat="1" applyFont="1" applyFill="1" applyBorder="1" applyAlignment="1">
      <alignment horizontal="right" vertical="center" wrapText="1"/>
    </xf>
    <xf numFmtId="0" fontId="65" fillId="0" borderId="52" xfId="5" applyFont="1" applyBorder="1" applyAlignment="1">
      <alignment horizontal="left" vertical="center"/>
    </xf>
    <xf numFmtId="3" fontId="33" fillId="22" borderId="58" xfId="4" applyNumberFormat="1" applyFont="1" applyFill="1" applyBorder="1" applyAlignment="1">
      <alignment horizontal="right"/>
    </xf>
    <xf numFmtId="171" fontId="33" fillId="32" borderId="58" xfId="4" applyNumberFormat="1" applyFont="1" applyFill="1" applyBorder="1" applyAlignment="1">
      <alignment horizontal="center"/>
    </xf>
    <xf numFmtId="3" fontId="33" fillId="23" borderId="58" xfId="4" applyNumberFormat="1" applyFont="1" applyFill="1" applyBorder="1" applyAlignment="1">
      <alignment horizontal="right"/>
    </xf>
    <xf numFmtId="3" fontId="38" fillId="23" borderId="58" xfId="4" applyNumberFormat="1" applyFont="1" applyFill="1" applyBorder="1" applyAlignment="1">
      <alignment horizontal="right"/>
    </xf>
    <xf numFmtId="3" fontId="30" fillId="0" borderId="58" xfId="4" applyNumberFormat="1" applyFont="1" applyBorder="1" applyAlignment="1">
      <alignment horizontal="right"/>
    </xf>
    <xf numFmtId="3" fontId="66" fillId="0" borderId="58" xfId="4" applyNumberFormat="1" applyFont="1" applyBorder="1" applyAlignment="1">
      <alignment horizontal="right"/>
    </xf>
    <xf numFmtId="3" fontId="33" fillId="24" borderId="58" xfId="4" applyNumberFormat="1" applyFont="1" applyFill="1" applyBorder="1" applyAlignment="1">
      <alignment horizontal="right"/>
    </xf>
    <xf numFmtId="3" fontId="30" fillId="0" borderId="58" xfId="4" applyNumberFormat="1" applyFont="1" applyFill="1" applyBorder="1" applyAlignment="1">
      <alignment horizontal="right"/>
    </xf>
    <xf numFmtId="3" fontId="33" fillId="0" borderId="58" xfId="4" applyNumberFormat="1" applyFont="1" applyFill="1" applyBorder="1" applyAlignment="1">
      <alignment horizontal="right"/>
    </xf>
    <xf numFmtId="3" fontId="30" fillId="24" borderId="58" xfId="4" applyNumberFormat="1" applyFont="1" applyFill="1" applyBorder="1" applyAlignment="1">
      <alignment horizontal="right"/>
    </xf>
    <xf numFmtId="3" fontId="30" fillId="23" borderId="58" xfId="4" applyNumberFormat="1" applyFont="1" applyFill="1" applyBorder="1" applyAlignment="1">
      <alignment horizontal="right"/>
    </xf>
    <xf numFmtId="172" fontId="33" fillId="32" borderId="58" xfId="4" applyNumberFormat="1" applyFont="1" applyFill="1" applyBorder="1" applyAlignment="1">
      <alignment horizontal="center"/>
    </xf>
    <xf numFmtId="0" fontId="67" fillId="33" borderId="58" xfId="0" applyFont="1" applyFill="1" applyBorder="1"/>
    <xf numFmtId="3" fontId="33" fillId="33" borderId="58" xfId="4" applyNumberFormat="1" applyFont="1" applyFill="1" applyBorder="1" applyAlignment="1">
      <alignment horizontal="right"/>
    </xf>
    <xf numFmtId="3" fontId="30" fillId="33" borderId="58" xfId="4" applyNumberFormat="1" applyFont="1" applyFill="1" applyBorder="1" applyAlignment="1">
      <alignment horizontal="right"/>
    </xf>
    <xf numFmtId="167" fontId="30" fillId="33" borderId="58" xfId="4" applyNumberFormat="1" applyFont="1" applyFill="1" applyBorder="1" applyAlignment="1">
      <alignment horizontal="center"/>
    </xf>
    <xf numFmtId="172" fontId="30" fillId="33" borderId="58" xfId="4" applyNumberFormat="1" applyFont="1" applyFill="1" applyBorder="1" applyAlignment="1">
      <alignment horizontal="center"/>
    </xf>
    <xf numFmtId="0" fontId="33" fillId="24" borderId="58" xfId="0" quotePrefix="1" applyFont="1" applyFill="1" applyBorder="1" applyAlignment="1">
      <alignment horizontal="left"/>
    </xf>
    <xf numFmtId="3" fontId="33" fillId="34" borderId="58" xfId="4" applyNumberFormat="1" applyFont="1" applyFill="1" applyBorder="1" applyAlignment="1">
      <alignment horizontal="right"/>
    </xf>
    <xf numFmtId="3" fontId="30" fillId="34" borderId="58" xfId="4" applyNumberFormat="1" applyFont="1" applyFill="1" applyBorder="1" applyAlignment="1">
      <alignment horizontal="right"/>
    </xf>
    <xf numFmtId="167" fontId="30" fillId="34" borderId="58" xfId="4" applyNumberFormat="1" applyFont="1" applyFill="1" applyBorder="1" applyAlignment="1">
      <alignment horizontal="center"/>
    </xf>
    <xf numFmtId="172" fontId="30" fillId="34" borderId="58" xfId="4" applyNumberFormat="1" applyFont="1" applyFill="1" applyBorder="1" applyAlignment="1">
      <alignment horizontal="center"/>
    </xf>
    <xf numFmtId="0" fontId="33" fillId="24" borderId="58" xfId="0" quotePrefix="1" applyFont="1" applyFill="1" applyBorder="1" applyAlignment="1">
      <alignment horizontal="left" wrapText="1"/>
    </xf>
    <xf numFmtId="3" fontId="33" fillId="35" borderId="58" xfId="4" applyNumberFormat="1" applyFont="1" applyFill="1" applyBorder="1" applyAlignment="1">
      <alignment horizontal="right"/>
    </xf>
    <xf numFmtId="3" fontId="30" fillId="35" borderId="58" xfId="4" applyNumberFormat="1" applyFont="1" applyFill="1" applyBorder="1" applyAlignment="1">
      <alignment horizontal="right"/>
    </xf>
    <xf numFmtId="167" fontId="30" fillId="35" borderId="58" xfId="4" applyNumberFormat="1" applyFont="1" applyFill="1" applyBorder="1" applyAlignment="1">
      <alignment horizontal="center"/>
    </xf>
    <xf numFmtId="172" fontId="30" fillId="35" borderId="58" xfId="4" applyNumberFormat="1" applyFont="1" applyFill="1" applyBorder="1" applyAlignment="1">
      <alignment horizontal="center"/>
    </xf>
    <xf numFmtId="3" fontId="68" fillId="23" borderId="58" xfId="4" applyNumberFormat="1" applyFont="1" applyFill="1" applyBorder="1" applyAlignment="1">
      <alignment horizontal="right" vertical="center"/>
    </xf>
    <xf numFmtId="3" fontId="51" fillId="23" borderId="58" xfId="4" applyNumberFormat="1" applyFont="1" applyFill="1" applyBorder="1" applyAlignment="1">
      <alignment horizontal="right" vertical="center"/>
    </xf>
    <xf numFmtId="3" fontId="30" fillId="24" borderId="58" xfId="4" quotePrefix="1" applyNumberFormat="1" applyFont="1" applyFill="1" applyBorder="1" applyAlignment="1">
      <alignment horizontal="right"/>
    </xf>
    <xf numFmtId="3" fontId="33" fillId="36" borderId="58" xfId="4" applyNumberFormat="1" applyFont="1" applyFill="1" applyBorder="1" applyAlignment="1">
      <alignment horizontal="right"/>
    </xf>
    <xf numFmtId="3" fontId="30" fillId="36" borderId="58" xfId="4" applyNumberFormat="1" applyFont="1" applyFill="1" applyBorder="1" applyAlignment="1">
      <alignment horizontal="right"/>
    </xf>
    <xf numFmtId="167" fontId="30" fillId="36" borderId="58" xfId="4" applyNumberFormat="1" applyFont="1" applyFill="1" applyBorder="1" applyAlignment="1">
      <alignment horizontal="center"/>
    </xf>
    <xf numFmtId="172" fontId="30" fillId="36" borderId="58" xfId="4" applyNumberFormat="1" applyFont="1" applyFill="1" applyBorder="1" applyAlignment="1">
      <alignment horizontal="center"/>
    </xf>
    <xf numFmtId="3" fontId="33" fillId="30" borderId="58" xfId="4" applyNumberFormat="1" applyFont="1" applyFill="1" applyBorder="1" applyAlignment="1">
      <alignment horizontal="right"/>
    </xf>
    <xf numFmtId="167" fontId="30" fillId="37" borderId="58" xfId="4" applyNumberFormat="1" applyFont="1" applyFill="1" applyBorder="1" applyAlignment="1">
      <alignment horizontal="center"/>
    </xf>
    <xf numFmtId="172" fontId="30" fillId="37" borderId="58" xfId="4" applyNumberFormat="1" applyFont="1" applyFill="1" applyBorder="1" applyAlignment="1">
      <alignment horizontal="center"/>
    </xf>
    <xf numFmtId="3" fontId="51" fillId="0" borderId="58" xfId="4" applyNumberFormat="1" applyFont="1" applyFill="1" applyBorder="1" applyAlignment="1">
      <alignment horizontal="right" vertical="center"/>
    </xf>
    <xf numFmtId="3" fontId="55" fillId="0" borderId="58" xfId="4" applyNumberFormat="1" applyFont="1" applyFill="1" applyBorder="1" applyAlignment="1">
      <alignment horizontal="right" vertical="center"/>
    </xf>
    <xf numFmtId="167" fontId="51" fillId="0" borderId="58" xfId="4" applyNumberFormat="1" applyFont="1" applyFill="1" applyBorder="1" applyAlignment="1">
      <alignment horizontal="center" vertical="center"/>
    </xf>
    <xf numFmtId="166" fontId="55" fillId="0" borderId="58" xfId="4" applyFont="1" applyFill="1" applyBorder="1" applyAlignment="1">
      <alignment horizontal="center" vertical="center"/>
    </xf>
    <xf numFmtId="166" fontId="51" fillId="0" borderId="58" xfId="4" applyFont="1" applyFill="1" applyBorder="1" applyAlignment="1">
      <alignment horizontal="center" vertical="center"/>
    </xf>
    <xf numFmtId="3" fontId="55" fillId="33" borderId="58" xfId="4" applyNumberFormat="1" applyFont="1" applyFill="1" applyBorder="1" applyAlignment="1">
      <alignment horizontal="right" vertical="center"/>
    </xf>
    <xf numFmtId="3" fontId="51" fillId="33" borderId="58" xfId="4" applyNumberFormat="1" applyFont="1" applyFill="1" applyBorder="1" applyAlignment="1">
      <alignment horizontal="right" vertical="center"/>
    </xf>
    <xf numFmtId="167" fontId="51" fillId="33" borderId="58" xfId="4" applyNumberFormat="1" applyFont="1" applyFill="1" applyBorder="1" applyAlignment="1">
      <alignment horizontal="center" vertical="center"/>
    </xf>
    <xf numFmtId="166" fontId="51" fillId="33" borderId="58" xfId="4" applyFont="1" applyFill="1" applyBorder="1" applyAlignment="1">
      <alignment horizontal="center" vertical="center"/>
    </xf>
    <xf numFmtId="3" fontId="55" fillId="23" borderId="58" xfId="4" applyNumberFormat="1" applyFont="1" applyFill="1" applyBorder="1" applyAlignment="1">
      <alignment horizontal="right" vertical="center"/>
    </xf>
    <xf numFmtId="3" fontId="30" fillId="35" borderId="58" xfId="4" quotePrefix="1" applyNumberFormat="1" applyFont="1" applyFill="1" applyBorder="1" applyAlignment="1">
      <alignment horizontal="right"/>
    </xf>
    <xf numFmtId="167" fontId="30" fillId="35" borderId="58" xfId="4" quotePrefix="1" applyNumberFormat="1" applyFont="1" applyFill="1" applyBorder="1" applyAlignment="1">
      <alignment horizontal="left"/>
    </xf>
    <xf numFmtId="166" fontId="30" fillId="35" borderId="58" xfId="4" quotePrefix="1" applyFont="1" applyFill="1" applyBorder="1" applyAlignment="1">
      <alignment horizontal="left"/>
    </xf>
    <xf numFmtId="0" fontId="30" fillId="38" borderId="58" xfId="0" quotePrefix="1" applyFont="1" applyFill="1" applyBorder="1" applyAlignment="1">
      <alignment horizontal="left"/>
    </xf>
    <xf numFmtId="9" fontId="64" fillId="4" borderId="12" xfId="3" applyFont="1" applyFill="1" applyBorder="1" applyAlignment="1">
      <alignment vertical="top" wrapText="1"/>
    </xf>
    <xf numFmtId="3" fontId="64" fillId="3" borderId="16" xfId="0" applyNumberFormat="1" applyFont="1" applyFill="1" applyBorder="1" applyAlignment="1" applyProtection="1">
      <alignment horizontal="right" vertical="top"/>
      <protection locked="0"/>
    </xf>
    <xf numFmtId="169" fontId="64" fillId="3" borderId="16" xfId="0" applyNumberFormat="1" applyFont="1" applyFill="1" applyBorder="1" applyAlignment="1" applyProtection="1">
      <alignment horizontal="right" vertical="top"/>
      <protection locked="0"/>
    </xf>
    <xf numFmtId="3" fontId="64" fillId="3" borderId="7" xfId="0" applyNumberFormat="1" applyFont="1" applyFill="1" applyBorder="1" applyAlignment="1" applyProtection="1">
      <alignment horizontal="right" vertical="top" wrapText="1"/>
      <protection locked="0"/>
    </xf>
    <xf numFmtId="170" fontId="44" fillId="3" borderId="52" xfId="4" applyNumberFormat="1" applyFont="1" applyFill="1" applyBorder="1" applyAlignment="1">
      <alignment horizontal="right" vertical="center"/>
    </xf>
    <xf numFmtId="172" fontId="33" fillId="42" borderId="58" xfId="4" applyNumberFormat="1" applyFont="1" applyFill="1" applyBorder="1" applyAlignment="1">
      <alignment horizontal="center"/>
    </xf>
    <xf numFmtId="49" fontId="47" fillId="43" borderId="58" xfId="0" applyNumberFormat="1" applyFont="1" applyFill="1" applyBorder="1" applyAlignment="1">
      <alignment horizontal="center" vertical="center"/>
    </xf>
    <xf numFmtId="0" fontId="51" fillId="43" borderId="58" xfId="0" applyFont="1" applyFill="1" applyBorder="1" applyAlignment="1">
      <alignment horizontal="center" vertical="center"/>
    </xf>
    <xf numFmtId="0" fontId="68" fillId="43" borderId="58" xfId="0" applyFont="1" applyFill="1" applyBorder="1" applyAlignment="1">
      <alignment vertical="center" wrapText="1"/>
    </xf>
    <xf numFmtId="167" fontId="69" fillId="43" borderId="58" xfId="4" applyNumberFormat="1" applyFont="1" applyFill="1" applyBorder="1" applyAlignment="1">
      <alignment vertical="center" wrapText="1"/>
    </xf>
    <xf numFmtId="170" fontId="44" fillId="44" borderId="52" xfId="4" applyNumberFormat="1" applyFont="1" applyFill="1" applyBorder="1" applyAlignment="1">
      <alignment horizontal="right" vertical="center"/>
    </xf>
    <xf numFmtId="172" fontId="30" fillId="3" borderId="58" xfId="4" applyNumberFormat="1" applyFont="1" applyFill="1" applyBorder="1" applyAlignment="1">
      <alignment horizontal="center"/>
    </xf>
    <xf numFmtId="172" fontId="69" fillId="45" borderId="58" xfId="4" applyNumberFormat="1" applyFont="1" applyFill="1" applyBorder="1" applyAlignment="1">
      <alignment vertical="center" wrapText="1"/>
    </xf>
    <xf numFmtId="0" fontId="51" fillId="46" borderId="58" xfId="0" applyFont="1" applyFill="1" applyBorder="1" applyAlignment="1">
      <alignment horizontal="center" vertical="center"/>
    </xf>
    <xf numFmtId="49" fontId="47" fillId="46" borderId="58" xfId="0" applyNumberFormat="1" applyFont="1" applyFill="1" applyBorder="1" applyAlignment="1">
      <alignment horizontal="center" vertical="center"/>
    </xf>
    <xf numFmtId="0" fontId="33" fillId="46" borderId="58" xfId="0" applyFont="1" applyFill="1" applyBorder="1" applyAlignment="1">
      <alignment vertical="center" wrapText="1"/>
    </xf>
    <xf numFmtId="0" fontId="47" fillId="37" borderId="58" xfId="0" applyFont="1" applyFill="1" applyBorder="1" applyAlignment="1">
      <alignment horizontal="center" vertical="center"/>
    </xf>
    <xf numFmtId="49" fontId="47" fillId="37" borderId="58" xfId="0" applyNumberFormat="1" applyFont="1" applyFill="1" applyBorder="1" applyAlignment="1">
      <alignment horizontal="center" vertical="center"/>
    </xf>
    <xf numFmtId="0" fontId="33" fillId="37" borderId="58" xfId="0" applyFont="1" applyFill="1" applyBorder="1" applyAlignment="1">
      <alignment vertical="center" wrapText="1"/>
    </xf>
    <xf numFmtId="0" fontId="45" fillId="0" borderId="56" xfId="0" applyFont="1" applyBorder="1" applyAlignment="1">
      <alignment horizontal="left" vertical="center"/>
    </xf>
    <xf numFmtId="0" fontId="51" fillId="47" borderId="58" xfId="0" applyFont="1" applyFill="1" applyBorder="1" applyAlignment="1">
      <alignment horizontal="center" vertical="center"/>
    </xf>
    <xf numFmtId="0" fontId="30" fillId="47" borderId="58" xfId="0" quotePrefix="1" applyFont="1" applyFill="1" applyBorder="1" applyAlignment="1">
      <alignment horizontal="left" vertical="center" wrapText="1"/>
    </xf>
    <xf numFmtId="172" fontId="30" fillId="47" borderId="58" xfId="4" applyNumberFormat="1" applyFont="1" applyFill="1" applyBorder="1" applyAlignment="1">
      <alignment horizontal="center" vertical="center"/>
    </xf>
    <xf numFmtId="0" fontId="30" fillId="0" borderId="58" xfId="0" quotePrefix="1" applyFont="1" applyBorder="1" applyAlignment="1">
      <alignment horizontal="left" vertical="center" wrapText="1"/>
    </xf>
    <xf numFmtId="167" fontId="30" fillId="0" borderId="58" xfId="4" applyNumberFormat="1" applyFont="1" applyFill="1" applyBorder="1" applyAlignment="1">
      <alignment horizontal="center" vertical="center"/>
    </xf>
    <xf numFmtId="172" fontId="30" fillId="0" borderId="58" xfId="4" applyNumberFormat="1" applyFont="1" applyFill="1" applyBorder="1" applyAlignment="1">
      <alignment horizontal="center" vertical="center"/>
    </xf>
    <xf numFmtId="0" fontId="30" fillId="39" borderId="58" xfId="0" quotePrefix="1" applyFont="1" applyFill="1" applyBorder="1" applyAlignment="1">
      <alignment horizontal="left" vertical="center" wrapText="1"/>
    </xf>
    <xf numFmtId="167" fontId="30" fillId="39" borderId="58" xfId="4" applyNumberFormat="1" applyFont="1" applyFill="1" applyBorder="1" applyAlignment="1">
      <alignment horizontal="center" vertical="center"/>
    </xf>
    <xf numFmtId="172" fontId="30" fillId="39" borderId="58" xfId="4" applyNumberFormat="1" applyFont="1" applyFill="1" applyBorder="1" applyAlignment="1">
      <alignment horizontal="center" vertical="center"/>
    </xf>
    <xf numFmtId="0" fontId="51" fillId="48" borderId="58" xfId="0" applyFont="1" applyFill="1" applyBorder="1" applyAlignment="1">
      <alignment horizontal="center" vertical="center"/>
    </xf>
    <xf numFmtId="0" fontId="30" fillId="48" borderId="58" xfId="0" quotePrefix="1" applyFont="1" applyFill="1" applyBorder="1" applyAlignment="1">
      <alignment horizontal="left" vertical="center" wrapText="1"/>
    </xf>
    <xf numFmtId="0" fontId="51" fillId="9" borderId="58" xfId="0" applyFont="1" applyFill="1" applyBorder="1" applyAlignment="1">
      <alignment horizontal="center" vertical="center"/>
    </xf>
    <xf numFmtId="49" fontId="51" fillId="9" borderId="58" xfId="0" applyNumberFormat="1" applyFont="1" applyFill="1" applyBorder="1" applyAlignment="1">
      <alignment horizontal="center" vertical="center"/>
    </xf>
    <xf numFmtId="0" fontId="30" fillId="9" borderId="58" xfId="0" quotePrefix="1" applyFont="1" applyFill="1" applyBorder="1" applyAlignment="1">
      <alignment horizontal="left" vertical="center" wrapText="1"/>
    </xf>
    <xf numFmtId="0" fontId="51" fillId="49" borderId="58" xfId="0" applyFont="1" applyFill="1" applyBorder="1" applyAlignment="1">
      <alignment horizontal="center" vertical="center"/>
    </xf>
    <xf numFmtId="0" fontId="30" fillId="49" borderId="58" xfId="0" applyFont="1" applyFill="1" applyBorder="1" applyAlignment="1">
      <alignment vertical="center" wrapText="1"/>
    </xf>
    <xf numFmtId="166" fontId="51" fillId="49" borderId="58" xfId="4" applyFont="1" applyFill="1" applyBorder="1" applyAlignment="1">
      <alignment horizontal="center" vertical="center"/>
    </xf>
    <xf numFmtId="0" fontId="50" fillId="39" borderId="56" xfId="0" applyFont="1" applyFill="1" applyBorder="1" applyAlignment="1">
      <alignment horizontal="left" vertical="center"/>
    </xf>
    <xf numFmtId="0" fontId="30" fillId="47" borderId="58" xfId="0" quotePrefix="1" applyFont="1" applyFill="1" applyBorder="1" applyAlignment="1">
      <alignment horizontal="center" vertical="center"/>
    </xf>
    <xf numFmtId="0" fontId="30" fillId="47" borderId="58" xfId="0" quotePrefix="1" applyFont="1" applyFill="1" applyBorder="1" applyAlignment="1">
      <alignment horizontal="left" vertical="center"/>
    </xf>
    <xf numFmtId="166" fontId="30" fillId="47" borderId="58" xfId="4" quotePrefix="1" applyFont="1" applyFill="1" applyBorder="1" applyAlignment="1">
      <alignment horizontal="left" vertical="center"/>
    </xf>
    <xf numFmtId="172" fontId="30" fillId="49" borderId="58" xfId="4" applyNumberFormat="1" applyFont="1" applyFill="1" applyBorder="1" applyAlignment="1">
      <alignment horizontal="center" vertical="center"/>
    </xf>
    <xf numFmtId="0" fontId="47" fillId="50" borderId="58" xfId="0" applyFont="1" applyFill="1" applyBorder="1" applyAlignment="1">
      <alignment horizontal="center" vertical="center"/>
    </xf>
    <xf numFmtId="0" fontId="33" fillId="50" borderId="58" xfId="0" quotePrefix="1" applyFont="1" applyFill="1" applyBorder="1" applyAlignment="1">
      <alignment horizontal="left" vertical="center" wrapText="1"/>
    </xf>
    <xf numFmtId="0" fontId="45" fillId="30" borderId="56" xfId="0" applyFont="1" applyFill="1" applyBorder="1" applyAlignment="1">
      <alignment horizontal="left" vertical="center"/>
    </xf>
    <xf numFmtId="0" fontId="33" fillId="35" borderId="58" xfId="0" quotePrefix="1" applyFont="1" applyFill="1" applyBorder="1" applyAlignment="1">
      <alignment horizontal="left" vertical="center" wrapText="1"/>
    </xf>
    <xf numFmtId="0" fontId="45" fillId="35" borderId="56" xfId="0" applyFont="1" applyFill="1" applyBorder="1" applyAlignment="1">
      <alignment horizontal="left" vertical="center"/>
    </xf>
    <xf numFmtId="0" fontId="51" fillId="39" borderId="58" xfId="0" applyFont="1" applyFill="1" applyBorder="1" applyAlignment="1">
      <alignment horizontal="center" vertical="center"/>
    </xf>
    <xf numFmtId="49" fontId="47" fillId="39" borderId="58" xfId="0" applyNumberFormat="1" applyFont="1" applyFill="1" applyBorder="1" applyAlignment="1">
      <alignment horizontal="center" vertical="center"/>
    </xf>
    <xf numFmtId="49" fontId="51" fillId="39" borderId="58" xfId="0" applyNumberFormat="1" applyFont="1" applyFill="1" applyBorder="1" applyAlignment="1">
      <alignment horizontal="center" vertical="center"/>
    </xf>
    <xf numFmtId="0" fontId="47" fillId="30" borderId="58" xfId="0" applyFont="1" applyFill="1" applyBorder="1" applyAlignment="1">
      <alignment horizontal="center" vertical="center"/>
    </xf>
    <xf numFmtId="49" fontId="47" fillId="30" borderId="58" xfId="0" applyNumberFormat="1" applyFont="1" applyFill="1" applyBorder="1" applyAlignment="1">
      <alignment horizontal="center" vertical="center"/>
    </xf>
    <xf numFmtId="0" fontId="33" fillId="30" borderId="58" xfId="0" quotePrefix="1" applyFont="1" applyFill="1" applyBorder="1" applyAlignment="1">
      <alignment horizontal="left" vertical="center" wrapText="1"/>
    </xf>
    <xf numFmtId="49" fontId="47" fillId="35" borderId="58" xfId="0" applyNumberFormat="1" applyFont="1" applyFill="1" applyBorder="1" applyAlignment="1">
      <alignment horizontal="center" vertical="center"/>
    </xf>
    <xf numFmtId="0" fontId="47" fillId="35" borderId="58" xfId="0" applyFont="1" applyFill="1" applyBorder="1" applyAlignment="1">
      <alignment horizontal="center" vertical="center"/>
    </xf>
    <xf numFmtId="0" fontId="47" fillId="38" borderId="58" xfId="0" applyFont="1" applyFill="1" applyBorder="1" applyAlignment="1">
      <alignment horizontal="center" vertical="center"/>
    </xf>
    <xf numFmtId="0" fontId="47" fillId="49" borderId="58" xfId="0" applyFont="1" applyFill="1" applyBorder="1" applyAlignment="1">
      <alignment horizontal="center" vertical="center"/>
    </xf>
    <xf numFmtId="0" fontId="47" fillId="39" borderId="58" xfId="0" applyFont="1" applyFill="1" applyBorder="1" applyAlignment="1">
      <alignment horizontal="center" vertical="center"/>
    </xf>
    <xf numFmtId="0" fontId="33" fillId="39" borderId="58" xfId="0" quotePrefix="1" applyFont="1" applyFill="1" applyBorder="1" applyAlignment="1">
      <alignment horizontal="left" vertical="center" wrapText="1"/>
    </xf>
    <xf numFmtId="167" fontId="33" fillId="39" borderId="58" xfId="4" applyNumberFormat="1" applyFont="1" applyFill="1" applyBorder="1" applyAlignment="1">
      <alignment horizontal="center" vertical="center"/>
    </xf>
    <xf numFmtId="0" fontId="45" fillId="39" borderId="56" xfId="0" applyFont="1" applyFill="1" applyBorder="1" applyAlignment="1">
      <alignment horizontal="left" vertical="center"/>
    </xf>
    <xf numFmtId="0" fontId="33" fillId="50" borderId="58" xfId="0" quotePrefix="1" applyFont="1" applyFill="1" applyBorder="1" applyAlignment="1">
      <alignment horizontal="center"/>
    </xf>
    <xf numFmtId="0" fontId="33" fillId="50" borderId="58" xfId="0" quotePrefix="1" applyFont="1" applyFill="1" applyBorder="1" applyAlignment="1">
      <alignment horizontal="left"/>
    </xf>
    <xf numFmtId="49" fontId="51" fillId="49" borderId="58" xfId="0" applyNumberFormat="1" applyFont="1" applyFill="1" applyBorder="1" applyAlignment="1">
      <alignment horizontal="center" vertical="center"/>
    </xf>
    <xf numFmtId="170" fontId="44" fillId="7" borderId="52" xfId="4" applyNumberFormat="1" applyFont="1" applyFill="1" applyBorder="1" applyAlignment="1">
      <alignment horizontal="right" vertical="center"/>
    </xf>
    <xf numFmtId="170" fontId="46" fillId="7" borderId="52" xfId="4" applyNumberFormat="1" applyFont="1" applyFill="1" applyBorder="1" applyAlignment="1">
      <alignment horizontal="right" vertical="center"/>
    </xf>
    <xf numFmtId="49" fontId="46" fillId="0" borderId="52" xfId="5" applyNumberFormat="1" applyFont="1" applyBorder="1" applyAlignment="1">
      <alignment horizontal="left" vertical="center"/>
    </xf>
    <xf numFmtId="3" fontId="30" fillId="7" borderId="58" xfId="4" applyNumberFormat="1" applyFont="1" applyFill="1" applyBorder="1" applyAlignment="1">
      <alignment horizontal="right"/>
    </xf>
    <xf numFmtId="49" fontId="46" fillId="7" borderId="52" xfId="5" applyNumberFormat="1" applyFont="1" applyFill="1" applyBorder="1" applyAlignment="1">
      <alignment horizontal="center" vertical="center"/>
    </xf>
    <xf numFmtId="0" fontId="46" fillId="7" borderId="52" xfId="5" applyFont="1" applyFill="1" applyBorder="1" applyAlignment="1">
      <alignment horizontal="left" vertical="center"/>
    </xf>
    <xf numFmtId="49" fontId="44" fillId="7" borderId="52" xfId="5" applyNumberFormat="1" applyFont="1" applyFill="1" applyBorder="1" applyAlignment="1">
      <alignment horizontal="left" vertical="center"/>
    </xf>
    <xf numFmtId="0" fontId="0" fillId="7" borderId="0" xfId="0" applyFill="1"/>
    <xf numFmtId="170" fontId="44" fillId="41" borderId="52" xfId="4" applyNumberFormat="1" applyFont="1" applyFill="1" applyBorder="1" applyAlignment="1">
      <alignment horizontal="right" vertical="center"/>
    </xf>
    <xf numFmtId="170" fontId="46" fillId="41" borderId="52" xfId="4" applyNumberFormat="1" applyFont="1" applyFill="1" applyBorder="1" applyAlignment="1">
      <alignment horizontal="right" vertical="center"/>
    </xf>
    <xf numFmtId="9" fontId="44" fillId="19" borderId="52" xfId="3" applyFont="1" applyFill="1" applyBorder="1" applyAlignment="1">
      <alignment horizontal="right" vertical="center"/>
    </xf>
    <xf numFmtId="174" fontId="22" fillId="0" borderId="0" xfId="0" applyNumberFormat="1" applyFont="1"/>
    <xf numFmtId="170" fontId="22" fillId="0" borderId="0" xfId="0" applyNumberFormat="1" applyFont="1"/>
    <xf numFmtId="175" fontId="50" fillId="0" borderId="56" xfId="0" applyNumberFormat="1" applyFont="1" applyBorder="1" applyAlignment="1">
      <alignment horizontal="left" vertical="center"/>
    </xf>
    <xf numFmtId="170" fontId="44" fillId="40" borderId="52" xfId="4" applyNumberFormat="1" applyFont="1" applyFill="1" applyBorder="1" applyAlignment="1">
      <alignment horizontal="right" vertical="center"/>
    </xf>
    <xf numFmtId="170" fontId="46" fillId="3" borderId="52" xfId="4" applyNumberFormat="1" applyFont="1" applyFill="1" applyBorder="1" applyAlignment="1">
      <alignment horizontal="right" vertical="center"/>
    </xf>
    <xf numFmtId="0" fontId="44" fillId="3" borderId="52" xfId="5" applyFont="1" applyFill="1" applyBorder="1" applyAlignment="1">
      <alignment horizontal="left" vertical="center"/>
    </xf>
    <xf numFmtId="170" fontId="46" fillId="44" borderId="52" xfId="4" applyNumberFormat="1" applyFont="1" applyFill="1" applyBorder="1" applyAlignment="1">
      <alignment horizontal="right" vertical="center"/>
    </xf>
    <xf numFmtId="9" fontId="46" fillId="0" borderId="52" xfId="3" applyFont="1" applyFill="1" applyBorder="1" applyAlignment="1">
      <alignment horizontal="right" vertical="center"/>
    </xf>
    <xf numFmtId="172" fontId="30" fillId="41" borderId="58" xfId="4" applyNumberFormat="1" applyFont="1" applyFill="1" applyBorder="1" applyAlignment="1">
      <alignment horizontal="center"/>
    </xf>
    <xf numFmtId="3" fontId="30" fillId="47" borderId="58" xfId="0" quotePrefix="1" applyNumberFormat="1" applyFont="1" applyFill="1" applyBorder="1" applyAlignment="1">
      <alignment horizontal="right" vertical="center" wrapText="1"/>
    </xf>
    <xf numFmtId="3" fontId="30" fillId="49" borderId="58" xfId="0" applyNumberFormat="1" applyFont="1" applyFill="1" applyBorder="1" applyAlignment="1">
      <alignment horizontal="right" vertical="center" wrapText="1"/>
    </xf>
    <xf numFmtId="0" fontId="0" fillId="0" borderId="0" xfId="0" applyAlignment="1">
      <alignment horizontal="right" vertical="center" wrapText="1"/>
    </xf>
    <xf numFmtId="3" fontId="33" fillId="37" borderId="58" xfId="0" applyNumberFormat="1" applyFont="1" applyFill="1" applyBorder="1" applyAlignment="1">
      <alignment horizontal="right" vertical="center" wrapText="1"/>
    </xf>
    <xf numFmtId="3" fontId="33" fillId="46" borderId="58" xfId="0" applyNumberFormat="1" applyFont="1" applyFill="1" applyBorder="1" applyAlignment="1">
      <alignment horizontal="right" vertical="center" wrapText="1"/>
    </xf>
    <xf numFmtId="3" fontId="33" fillId="35" borderId="58" xfId="0" quotePrefix="1" applyNumberFormat="1" applyFont="1" applyFill="1" applyBorder="1" applyAlignment="1">
      <alignment horizontal="right" vertical="center" wrapText="1"/>
    </xf>
    <xf numFmtId="3" fontId="30" fillId="39" borderId="58" xfId="0" quotePrefix="1" applyNumberFormat="1" applyFont="1" applyFill="1" applyBorder="1" applyAlignment="1">
      <alignment horizontal="right" vertical="center" wrapText="1"/>
    </xf>
    <xf numFmtId="3" fontId="33" fillId="39" borderId="58" xfId="0" quotePrefix="1" applyNumberFormat="1" applyFont="1" applyFill="1" applyBorder="1" applyAlignment="1">
      <alignment horizontal="right" vertical="center" wrapText="1"/>
    </xf>
    <xf numFmtId="3" fontId="33" fillId="50" borderId="58" xfId="0" quotePrefix="1" applyNumberFormat="1" applyFont="1" applyFill="1" applyBorder="1" applyAlignment="1">
      <alignment horizontal="right" vertical="center" wrapText="1"/>
    </xf>
    <xf numFmtId="3" fontId="33" fillId="30" borderId="58" xfId="0" quotePrefix="1" applyNumberFormat="1" applyFont="1" applyFill="1" applyBorder="1" applyAlignment="1">
      <alignment horizontal="right" vertical="center" wrapText="1"/>
    </xf>
    <xf numFmtId="3" fontId="33" fillId="22" borderId="58" xfId="0" applyNumberFormat="1" applyFont="1" applyFill="1" applyBorder="1" applyAlignment="1">
      <alignment horizontal="right" vertical="center" wrapText="1"/>
    </xf>
    <xf numFmtId="3" fontId="0" fillId="0" borderId="0" xfId="0" applyNumberFormat="1" applyAlignment="1">
      <alignment vertical="center"/>
    </xf>
    <xf numFmtId="0" fontId="30" fillId="0" borderId="0" xfId="5" applyFont="1" applyAlignment="1">
      <alignment vertical="center"/>
    </xf>
    <xf numFmtId="0" fontId="31" fillId="12" borderId="14" xfId="5" applyFont="1" applyFill="1" applyBorder="1" applyAlignment="1">
      <alignment vertical="top" wrapText="1"/>
    </xf>
    <xf numFmtId="173" fontId="31" fillId="12" borderId="15" xfId="3" applyNumberFormat="1" applyFont="1" applyFill="1" applyBorder="1" applyAlignment="1">
      <alignment horizontal="center" vertical="center" wrapText="1"/>
    </xf>
    <xf numFmtId="9" fontId="31" fillId="12" borderId="15" xfId="3" applyFont="1" applyFill="1" applyBorder="1" applyAlignment="1">
      <alignment vertical="center" wrapText="1"/>
    </xf>
    <xf numFmtId="0" fontId="36" fillId="15" borderId="12" xfId="5" applyFont="1" applyFill="1" applyBorder="1" applyAlignment="1">
      <alignment horizontal="center" vertical="center" wrapText="1"/>
    </xf>
    <xf numFmtId="0" fontId="30" fillId="0" borderId="0" xfId="5" applyFont="1" applyAlignment="1">
      <alignment horizontal="center" vertical="center" wrapText="1"/>
    </xf>
    <xf numFmtId="0" fontId="33" fillId="52" borderId="64" xfId="0" applyFont="1" applyFill="1" applyBorder="1" applyAlignment="1">
      <alignment vertical="top" wrapText="1"/>
    </xf>
    <xf numFmtId="3" fontId="36" fillId="44" borderId="25" xfId="5" applyNumberFormat="1" applyFont="1" applyFill="1" applyBorder="1" applyAlignment="1">
      <alignment vertical="center" wrapText="1"/>
    </xf>
    <xf numFmtId="1" fontId="36" fillId="44" borderId="69" xfId="5" applyNumberFormat="1" applyFont="1" applyFill="1" applyBorder="1" applyAlignment="1">
      <alignment horizontal="center" vertical="center" wrapText="1"/>
    </xf>
    <xf numFmtId="173" fontId="36" fillId="44" borderId="70" xfId="3" applyNumberFormat="1" applyFont="1" applyFill="1" applyBorder="1" applyAlignment="1">
      <alignment horizontal="center" vertical="center" wrapText="1"/>
    </xf>
    <xf numFmtId="0" fontId="33" fillId="44" borderId="9" xfId="5" applyFont="1" applyFill="1" applyBorder="1" applyAlignment="1">
      <alignment horizontal="center" vertical="center" wrapText="1"/>
    </xf>
    <xf numFmtId="0" fontId="33" fillId="44" borderId="2" xfId="5" applyFont="1" applyFill="1" applyBorder="1" applyAlignment="1">
      <alignment horizontal="center" vertical="center" wrapText="1"/>
    </xf>
    <xf numFmtId="0" fontId="33" fillId="44" borderId="1" xfId="5" applyFont="1" applyFill="1" applyBorder="1" applyAlignment="1">
      <alignment horizontal="center" vertical="center" wrapText="1"/>
    </xf>
    <xf numFmtId="15" fontId="33" fillId="44" borderId="9" xfId="5" applyNumberFormat="1" applyFont="1" applyFill="1" applyBorder="1" applyAlignment="1">
      <alignment horizontal="center" vertical="center" wrapText="1"/>
    </xf>
    <xf numFmtId="10" fontId="33" fillId="44" borderId="5" xfId="3" applyNumberFormat="1" applyFont="1" applyFill="1" applyBorder="1" applyAlignment="1">
      <alignment horizontal="right" vertical="center" wrapText="1"/>
    </xf>
    <xf numFmtId="3" fontId="36" fillId="44" borderId="69" xfId="5" applyNumberFormat="1" applyFont="1" applyFill="1" applyBorder="1" applyAlignment="1">
      <alignment vertical="center" wrapText="1"/>
    </xf>
    <xf numFmtId="3" fontId="36" fillId="44" borderId="64" xfId="5" applyNumberFormat="1" applyFont="1" applyFill="1" applyBorder="1" applyAlignment="1">
      <alignment vertical="center" wrapText="1"/>
    </xf>
    <xf numFmtId="173" fontId="36" fillId="44" borderId="25" xfId="3" applyNumberFormat="1" applyFont="1" applyFill="1" applyBorder="1" applyAlignment="1">
      <alignment horizontal="center" vertical="center" wrapText="1"/>
    </xf>
    <xf numFmtId="9" fontId="36" fillId="44" borderId="71" xfId="3" applyFont="1" applyFill="1" applyBorder="1" applyAlignment="1">
      <alignment horizontal="center" vertical="center" wrapText="1"/>
    </xf>
    <xf numFmtId="9" fontId="36" fillId="44" borderId="64" xfId="3" applyFont="1" applyFill="1" applyBorder="1" applyAlignment="1">
      <alignment horizontal="center" vertical="center" wrapText="1"/>
    </xf>
    <xf numFmtId="166" fontId="36" fillId="44" borderId="70" xfId="4" applyFont="1" applyFill="1" applyBorder="1" applyAlignment="1">
      <alignment vertical="center" wrapText="1"/>
    </xf>
    <xf numFmtId="173" fontId="36" fillId="44" borderId="69" xfId="3" applyNumberFormat="1" applyFont="1" applyFill="1" applyBorder="1" applyAlignment="1">
      <alignment horizontal="center" vertical="center" wrapText="1"/>
    </xf>
    <xf numFmtId="0" fontId="36" fillId="44" borderId="70" xfId="3" applyNumberFormat="1" applyFont="1" applyFill="1" applyBorder="1" applyAlignment="1">
      <alignment vertical="center" wrapText="1"/>
    </xf>
    <xf numFmtId="3" fontId="36" fillId="44" borderId="42" xfId="5" applyNumberFormat="1" applyFont="1" applyFill="1" applyBorder="1" applyAlignment="1">
      <alignment vertical="center" wrapText="1"/>
    </xf>
    <xf numFmtId="3" fontId="36" fillId="44" borderId="30" xfId="5" applyNumberFormat="1" applyFont="1" applyFill="1" applyBorder="1" applyAlignment="1">
      <alignment vertical="center" wrapText="1"/>
    </xf>
    <xf numFmtId="3" fontId="36" fillId="44" borderId="24" xfId="5" applyNumberFormat="1" applyFont="1" applyFill="1" applyBorder="1" applyAlignment="1">
      <alignment vertical="center" wrapText="1"/>
    </xf>
    <xf numFmtId="0" fontId="33" fillId="44" borderId="64" xfId="5" applyFont="1" applyFill="1" applyBorder="1" applyAlignment="1">
      <alignment vertical="center" wrapText="1"/>
    </xf>
    <xf numFmtId="0" fontId="33" fillId="53" borderId="41" xfId="0" applyFont="1" applyFill="1" applyBorder="1" applyAlignment="1">
      <alignment vertical="top" wrapText="1"/>
    </xf>
    <xf numFmtId="3" fontId="37" fillId="54" borderId="19" xfId="5" applyNumberFormat="1" applyFont="1" applyFill="1" applyBorder="1" applyAlignment="1">
      <alignment vertical="center" wrapText="1"/>
    </xf>
    <xf numFmtId="1" fontId="37" fillId="54" borderId="40" xfId="5" applyNumberFormat="1" applyFont="1" applyFill="1" applyBorder="1" applyAlignment="1">
      <alignment horizontal="center" vertical="center" wrapText="1"/>
    </xf>
    <xf numFmtId="173" fontId="37" fillId="54" borderId="41" xfId="3" applyNumberFormat="1" applyFont="1" applyFill="1" applyBorder="1" applyAlignment="1">
      <alignment horizontal="center" vertical="center" wrapText="1"/>
    </xf>
    <xf numFmtId="3" fontId="37" fillId="54" borderId="40" xfId="5" applyNumberFormat="1" applyFont="1" applyFill="1" applyBorder="1" applyAlignment="1">
      <alignment vertical="center" wrapText="1"/>
    </xf>
    <xf numFmtId="3" fontId="37" fillId="54" borderId="41" xfId="5" applyNumberFormat="1" applyFont="1" applyFill="1" applyBorder="1" applyAlignment="1">
      <alignment vertical="center" wrapText="1"/>
    </xf>
    <xf numFmtId="173" fontId="37" fillId="54" borderId="41" xfId="3" applyNumberFormat="1" applyFont="1" applyFill="1" applyBorder="1" applyAlignment="1">
      <alignment vertical="center" wrapText="1"/>
    </xf>
    <xf numFmtId="173" fontId="37" fillId="54" borderId="25" xfId="3" applyNumberFormat="1" applyFont="1" applyFill="1" applyBorder="1" applyAlignment="1">
      <alignment horizontal="center" vertical="center" wrapText="1"/>
    </xf>
    <xf numFmtId="9" fontId="37" fillId="54" borderId="40" xfId="3" applyFont="1" applyFill="1" applyBorder="1" applyAlignment="1">
      <alignment horizontal="center" vertical="center" wrapText="1"/>
    </xf>
    <xf numFmtId="9" fontId="37" fillId="54" borderId="41" xfId="3" applyFont="1" applyFill="1" applyBorder="1" applyAlignment="1">
      <alignment horizontal="center" vertical="center" wrapText="1"/>
    </xf>
    <xf numFmtId="166" fontId="36" fillId="54" borderId="41" xfId="4" applyFont="1" applyFill="1" applyBorder="1" applyAlignment="1">
      <alignment vertical="center" wrapText="1"/>
    </xf>
    <xf numFmtId="173" fontId="37" fillId="54" borderId="40" xfId="3" applyNumberFormat="1" applyFont="1" applyFill="1" applyBorder="1" applyAlignment="1">
      <alignment horizontal="center" vertical="center" wrapText="1"/>
    </xf>
    <xf numFmtId="166" fontId="36" fillId="54" borderId="40" xfId="4" applyFont="1" applyFill="1" applyBorder="1" applyAlignment="1">
      <alignment vertical="center" wrapText="1"/>
    </xf>
    <xf numFmtId="0" fontId="37" fillId="54" borderId="70" xfId="3" applyNumberFormat="1" applyFont="1" applyFill="1" applyBorder="1" applyAlignment="1">
      <alignment vertical="center" wrapText="1"/>
    </xf>
    <xf numFmtId="166" fontId="37" fillId="54" borderId="41" xfId="4" applyFont="1" applyFill="1" applyBorder="1" applyAlignment="1">
      <alignment vertical="center" wrapText="1"/>
    </xf>
    <xf numFmtId="3" fontId="36" fillId="54" borderId="19" xfId="5" applyNumberFormat="1" applyFont="1" applyFill="1" applyBorder="1" applyAlignment="1">
      <alignment vertical="center" wrapText="1"/>
    </xf>
    <xf numFmtId="3" fontId="36" fillId="54" borderId="34" xfId="5" applyNumberFormat="1" applyFont="1" applyFill="1" applyBorder="1" applyAlignment="1">
      <alignment vertical="center" wrapText="1"/>
    </xf>
    <xf numFmtId="3" fontId="36" fillId="54" borderId="16" xfId="5" applyNumberFormat="1" applyFont="1" applyFill="1" applyBorder="1" applyAlignment="1">
      <alignment vertical="center" wrapText="1"/>
    </xf>
    <xf numFmtId="3" fontId="36" fillId="54" borderId="18" xfId="5" applyNumberFormat="1" applyFont="1" applyFill="1" applyBorder="1" applyAlignment="1">
      <alignment vertical="center" wrapText="1"/>
    </xf>
    <xf numFmtId="0" fontId="30" fillId="54" borderId="41" xfId="5" applyFont="1" applyFill="1" applyBorder="1" applyAlignment="1">
      <alignment vertical="center" wrapText="1"/>
    </xf>
    <xf numFmtId="0" fontId="30" fillId="55" borderId="41" xfId="0" applyFont="1" applyFill="1" applyBorder="1" applyAlignment="1">
      <alignment vertical="top" wrapText="1"/>
    </xf>
    <xf numFmtId="3" fontId="37" fillId="56" borderId="19" xfId="5" applyNumberFormat="1" applyFont="1" applyFill="1" applyBorder="1" applyAlignment="1">
      <alignment vertical="center" wrapText="1"/>
    </xf>
    <xf numFmtId="1" fontId="37" fillId="56" borderId="40" xfId="5" applyNumberFormat="1" applyFont="1" applyFill="1" applyBorder="1" applyAlignment="1">
      <alignment horizontal="center" vertical="center" wrapText="1"/>
    </xf>
    <xf numFmtId="9" fontId="37" fillId="56" borderId="41" xfId="3" applyFont="1" applyFill="1" applyBorder="1" applyAlignment="1">
      <alignment horizontal="center" vertical="center" wrapText="1"/>
    </xf>
    <xf numFmtId="173" fontId="37" fillId="56" borderId="41" xfId="3" applyNumberFormat="1" applyFont="1" applyFill="1" applyBorder="1" applyAlignment="1">
      <alignment horizontal="center" vertical="center" wrapText="1"/>
    </xf>
    <xf numFmtId="3" fontId="37" fillId="56" borderId="40" xfId="5" applyNumberFormat="1" applyFont="1" applyFill="1" applyBorder="1" applyAlignment="1">
      <alignment vertical="center" wrapText="1"/>
    </xf>
    <xf numFmtId="3" fontId="37" fillId="56" borderId="41" xfId="5" applyNumberFormat="1" applyFont="1" applyFill="1" applyBorder="1" applyAlignment="1">
      <alignment vertical="center" wrapText="1"/>
    </xf>
    <xf numFmtId="10" fontId="37" fillId="56" borderId="41" xfId="3" applyNumberFormat="1" applyFont="1" applyFill="1" applyBorder="1" applyAlignment="1">
      <alignment vertical="center" wrapText="1"/>
    </xf>
    <xf numFmtId="173" fontId="37" fillId="56" borderId="25" xfId="3" applyNumberFormat="1" applyFont="1" applyFill="1" applyBorder="1" applyAlignment="1">
      <alignment horizontal="center" vertical="center" wrapText="1"/>
    </xf>
    <xf numFmtId="9" fontId="37" fillId="56" borderId="40" xfId="3" applyFont="1" applyFill="1" applyBorder="1" applyAlignment="1">
      <alignment horizontal="center" vertical="center" wrapText="1"/>
    </xf>
    <xf numFmtId="166" fontId="36" fillId="56" borderId="41" xfId="4" applyFont="1" applyFill="1" applyBorder="1" applyAlignment="1">
      <alignment vertical="center" wrapText="1"/>
    </xf>
    <xf numFmtId="166" fontId="36" fillId="56" borderId="72" xfId="4" applyFont="1" applyFill="1" applyBorder="1" applyAlignment="1">
      <alignment vertical="center" wrapText="1"/>
    </xf>
    <xf numFmtId="173" fontId="37" fillId="56" borderId="40" xfId="3" applyNumberFormat="1" applyFont="1" applyFill="1" applyBorder="1" applyAlignment="1">
      <alignment horizontal="center" vertical="center" wrapText="1"/>
    </xf>
    <xf numFmtId="166" fontId="36" fillId="56" borderId="40" xfId="4" applyFont="1" applyFill="1" applyBorder="1" applyAlignment="1">
      <alignment vertical="center" wrapText="1"/>
    </xf>
    <xf numFmtId="0" fontId="37" fillId="56" borderId="70" xfId="3" applyNumberFormat="1" applyFont="1" applyFill="1" applyBorder="1" applyAlignment="1">
      <alignment vertical="center" wrapText="1"/>
    </xf>
    <xf numFmtId="166" fontId="37" fillId="56" borderId="41" xfId="4" applyFont="1" applyFill="1" applyBorder="1" applyAlignment="1">
      <alignment vertical="center" wrapText="1"/>
    </xf>
    <xf numFmtId="3" fontId="36" fillId="56" borderId="19" xfId="5" applyNumberFormat="1" applyFont="1" applyFill="1" applyBorder="1" applyAlignment="1">
      <alignment vertical="center" wrapText="1"/>
    </xf>
    <xf numFmtId="3" fontId="36" fillId="56" borderId="34" xfId="5" applyNumberFormat="1" applyFont="1" applyFill="1" applyBorder="1" applyAlignment="1">
      <alignment vertical="center" wrapText="1"/>
    </xf>
    <xf numFmtId="3" fontId="36" fillId="56" borderId="16" xfId="5" applyNumberFormat="1" applyFont="1" applyFill="1" applyBorder="1" applyAlignment="1">
      <alignment vertical="center" wrapText="1"/>
    </xf>
    <xf numFmtId="3" fontId="36" fillId="56" borderId="18" xfId="5" applyNumberFormat="1" applyFont="1" applyFill="1" applyBorder="1" applyAlignment="1">
      <alignment vertical="center" wrapText="1"/>
    </xf>
    <xf numFmtId="0" fontId="30" fillId="56" borderId="41" xfId="5" applyFont="1" applyFill="1" applyBorder="1" applyAlignment="1">
      <alignment vertical="center" wrapText="1"/>
    </xf>
    <xf numFmtId="0" fontId="30" fillId="0" borderId="41" xfId="0" applyFont="1" applyBorder="1" applyAlignment="1">
      <alignment vertical="top" wrapText="1"/>
    </xf>
    <xf numFmtId="1" fontId="37" fillId="0" borderId="40" xfId="5" applyNumberFormat="1" applyFont="1" applyBorder="1" applyAlignment="1">
      <alignment horizontal="center" vertical="center" wrapText="1"/>
    </xf>
    <xf numFmtId="10" fontId="37" fillId="0" borderId="41" xfId="3" applyNumberFormat="1" applyFont="1" applyFill="1" applyBorder="1" applyAlignment="1">
      <alignment horizontal="center" vertical="center" wrapText="1"/>
    </xf>
    <xf numFmtId="173" fontId="37" fillId="0" borderId="41" xfId="3" applyNumberFormat="1" applyFont="1" applyFill="1" applyBorder="1" applyAlignment="1">
      <alignment horizontal="center" vertical="center" wrapText="1"/>
    </xf>
    <xf numFmtId="0" fontId="33" fillId="0" borderId="40" xfId="5" applyFont="1" applyBorder="1" applyAlignment="1">
      <alignment horizontal="center" vertical="center" wrapText="1"/>
    </xf>
    <xf numFmtId="0" fontId="30" fillId="0" borderId="41" xfId="5" applyFont="1" applyBorder="1" applyAlignment="1">
      <alignment horizontal="center" vertical="center" wrapText="1"/>
    </xf>
    <xf numFmtId="14" fontId="37" fillId="0" borderId="40" xfId="5" applyNumberFormat="1" applyFont="1" applyBorder="1" applyAlignment="1">
      <alignment vertical="center" wrapText="1"/>
    </xf>
    <xf numFmtId="10" fontId="37" fillId="0" borderId="41" xfId="3" applyNumberFormat="1" applyFont="1" applyFill="1" applyBorder="1" applyAlignment="1">
      <alignment vertical="center" wrapText="1"/>
    </xf>
    <xf numFmtId="3" fontId="37" fillId="0" borderId="41" xfId="5" applyNumberFormat="1" applyFont="1" applyBorder="1" applyAlignment="1">
      <alignment vertical="center" wrapText="1"/>
    </xf>
    <xf numFmtId="173" fontId="37" fillId="0" borderId="25" xfId="3" applyNumberFormat="1" applyFont="1" applyFill="1" applyBorder="1" applyAlignment="1">
      <alignment horizontal="center" vertical="center" wrapText="1"/>
    </xf>
    <xf numFmtId="9" fontId="37" fillId="0" borderId="40" xfId="3" applyFont="1" applyFill="1" applyBorder="1" applyAlignment="1">
      <alignment horizontal="center" vertical="center" wrapText="1"/>
    </xf>
    <xf numFmtId="9" fontId="37" fillId="0" borderId="41" xfId="3" applyFont="1" applyFill="1" applyBorder="1" applyAlignment="1">
      <alignment horizontal="center" vertical="center" wrapText="1"/>
    </xf>
    <xf numFmtId="166" fontId="36" fillId="0" borderId="41" xfId="4" applyFont="1" applyBorder="1" applyAlignment="1">
      <alignment vertical="center" wrapText="1"/>
    </xf>
    <xf numFmtId="166" fontId="36" fillId="0" borderId="72" xfId="4" applyFont="1" applyBorder="1" applyAlignment="1">
      <alignment vertical="center" wrapText="1"/>
    </xf>
    <xf numFmtId="9" fontId="37" fillId="0" borderId="40" xfId="3" applyFont="1" applyFill="1" applyBorder="1" applyAlignment="1">
      <alignment vertical="center" wrapText="1"/>
    </xf>
    <xf numFmtId="166" fontId="36" fillId="0" borderId="40" xfId="4" applyFont="1" applyFill="1" applyBorder="1" applyAlignment="1">
      <alignment vertical="center" wrapText="1"/>
    </xf>
    <xf numFmtId="0" fontId="37" fillId="0" borderId="70" xfId="3" applyNumberFormat="1" applyFont="1" applyFill="1" applyBorder="1" applyAlignment="1">
      <alignment vertical="center" wrapText="1"/>
    </xf>
    <xf numFmtId="166" fontId="37" fillId="0" borderId="41" xfId="4" applyFont="1" applyBorder="1" applyAlignment="1">
      <alignment vertical="center" wrapText="1"/>
    </xf>
    <xf numFmtId="9" fontId="37" fillId="0" borderId="41" xfId="3" applyFont="1" applyFill="1" applyBorder="1" applyAlignment="1">
      <alignment vertical="center" wrapText="1"/>
    </xf>
    <xf numFmtId="3" fontId="36" fillId="0" borderId="18" xfId="5" applyNumberFormat="1" applyFont="1" applyBorder="1" applyAlignment="1">
      <alignment vertical="center" wrapText="1"/>
    </xf>
    <xf numFmtId="0" fontId="30" fillId="0" borderId="41" xfId="5" applyFont="1" applyBorder="1" applyAlignment="1">
      <alignment vertical="center" wrapText="1"/>
    </xf>
    <xf numFmtId="166" fontId="36" fillId="0" borderId="19" xfId="4" applyFont="1" applyBorder="1" applyAlignment="1">
      <alignment vertical="center" wrapText="1"/>
    </xf>
    <xf numFmtId="166" fontId="36" fillId="0" borderId="40" xfId="4" applyFont="1" applyBorder="1" applyAlignment="1">
      <alignment vertical="center" wrapText="1"/>
    </xf>
    <xf numFmtId="3" fontId="37" fillId="0" borderId="40" xfId="5" applyNumberFormat="1" applyFont="1" applyBorder="1" applyAlignment="1">
      <alignment vertical="top" wrapText="1"/>
    </xf>
    <xf numFmtId="9" fontId="37" fillId="0" borderId="40" xfId="3" applyFont="1" applyBorder="1" applyAlignment="1">
      <alignment horizontal="center" vertical="center" wrapText="1"/>
    </xf>
    <xf numFmtId="9" fontId="37" fillId="0" borderId="40" xfId="3" applyFont="1" applyBorder="1" applyAlignment="1">
      <alignment vertical="center" wrapText="1"/>
    </xf>
    <xf numFmtId="9" fontId="37" fillId="0" borderId="41" xfId="3" applyFont="1" applyBorder="1" applyAlignment="1">
      <alignment vertical="center" wrapText="1"/>
    </xf>
    <xf numFmtId="3" fontId="37" fillId="56" borderId="43" xfId="5" applyNumberFormat="1" applyFont="1" applyFill="1" applyBorder="1" applyAlignment="1">
      <alignment vertical="center" wrapText="1"/>
    </xf>
    <xf numFmtId="14" fontId="37" fillId="56" borderId="40" xfId="5" applyNumberFormat="1" applyFont="1" applyFill="1" applyBorder="1" applyAlignment="1">
      <alignment vertical="center" wrapText="1"/>
    </xf>
    <xf numFmtId="166" fontId="36" fillId="56" borderId="44" xfId="4" applyFont="1" applyFill="1" applyBorder="1" applyAlignment="1">
      <alignment vertical="center" wrapText="1"/>
    </xf>
    <xf numFmtId="166" fontId="36" fillId="56" borderId="22" xfId="4" applyFont="1" applyFill="1" applyBorder="1" applyAlignment="1">
      <alignment vertical="center" wrapText="1"/>
    </xf>
    <xf numFmtId="166" fontId="36" fillId="56" borderId="43" xfId="4" applyFont="1" applyFill="1" applyBorder="1" applyAlignment="1">
      <alignment vertical="center" wrapText="1"/>
    </xf>
    <xf numFmtId="173" fontId="37" fillId="56" borderId="43" xfId="3" applyNumberFormat="1" applyFont="1" applyFill="1" applyBorder="1" applyAlignment="1">
      <alignment horizontal="center" vertical="center" wrapText="1"/>
    </xf>
    <xf numFmtId="166" fontId="37" fillId="56" borderId="44" xfId="4" applyFont="1" applyFill="1" applyBorder="1" applyAlignment="1">
      <alignment vertical="center" wrapText="1"/>
    </xf>
    <xf numFmtId="3" fontId="36" fillId="56" borderId="22" xfId="5" applyNumberFormat="1" applyFont="1" applyFill="1" applyBorder="1" applyAlignment="1">
      <alignment vertical="center" wrapText="1"/>
    </xf>
    <xf numFmtId="166" fontId="36" fillId="0" borderId="44" xfId="4" applyFont="1" applyBorder="1" applyAlignment="1">
      <alignment vertical="center" wrapText="1"/>
    </xf>
    <xf numFmtId="166" fontId="36" fillId="0" borderId="22" xfId="4" applyFont="1" applyBorder="1" applyAlignment="1">
      <alignment vertical="center" wrapText="1"/>
    </xf>
    <xf numFmtId="166" fontId="36" fillId="0" borderId="43" xfId="4" applyFont="1" applyBorder="1" applyAlignment="1">
      <alignment vertical="center" wrapText="1"/>
    </xf>
    <xf numFmtId="166" fontId="36" fillId="0" borderId="43" xfId="4" applyFont="1" applyFill="1" applyBorder="1" applyAlignment="1">
      <alignment vertical="center" wrapText="1"/>
    </xf>
    <xf numFmtId="166" fontId="37" fillId="0" borderId="44" xfId="4" applyFont="1" applyBorder="1" applyAlignment="1">
      <alignment vertical="center" wrapText="1"/>
    </xf>
    <xf numFmtId="3" fontId="37" fillId="0" borderId="44" xfId="5" applyNumberFormat="1" applyFont="1" applyBorder="1" applyAlignment="1">
      <alignment vertical="center" wrapText="1"/>
    </xf>
    <xf numFmtId="3" fontId="36" fillId="0" borderId="22" xfId="5" applyNumberFormat="1" applyFont="1" applyBorder="1" applyAlignment="1">
      <alignment vertical="center" wrapText="1"/>
    </xf>
    <xf numFmtId="3" fontId="37" fillId="0" borderId="73" xfId="5" applyNumberFormat="1" applyFont="1" applyBorder="1" applyAlignment="1">
      <alignment vertical="center" wrapText="1"/>
    </xf>
    <xf numFmtId="0" fontId="37" fillId="0" borderId="41" xfId="3" applyNumberFormat="1" applyFont="1" applyFill="1" applyBorder="1" applyAlignment="1">
      <alignment vertical="center" wrapText="1"/>
    </xf>
    <xf numFmtId="3" fontId="36" fillId="0" borderId="72" xfId="5" applyNumberFormat="1" applyFont="1" applyBorder="1" applyAlignment="1">
      <alignment vertical="center" wrapText="1"/>
    </xf>
    <xf numFmtId="3" fontId="37" fillId="0" borderId="69" xfId="5" applyNumberFormat="1" applyFont="1" applyBorder="1" applyAlignment="1">
      <alignment vertical="center" wrapText="1"/>
    </xf>
    <xf numFmtId="3" fontId="37" fillId="0" borderId="71" xfId="5" applyNumberFormat="1" applyFont="1" applyBorder="1" applyAlignment="1">
      <alignment vertical="center" wrapText="1"/>
    </xf>
    <xf numFmtId="166" fontId="36" fillId="0" borderId="70" xfId="4" applyFont="1" applyBorder="1" applyAlignment="1">
      <alignment vertical="center" wrapText="1"/>
    </xf>
    <xf numFmtId="166" fontId="36" fillId="0" borderId="74" xfId="4" applyFont="1" applyBorder="1" applyAlignment="1">
      <alignment vertical="center" wrapText="1"/>
    </xf>
    <xf numFmtId="9" fontId="37" fillId="0" borderId="69" xfId="3" applyFont="1" applyFill="1" applyBorder="1" applyAlignment="1">
      <alignment vertical="center" wrapText="1"/>
    </xf>
    <xf numFmtId="166" fontId="36" fillId="0" borderId="70" xfId="4" applyFont="1" applyFill="1" applyBorder="1" applyAlignment="1">
      <alignment vertical="center" wrapText="1"/>
    </xf>
    <xf numFmtId="3" fontId="37" fillId="0" borderId="70" xfId="5" applyNumberFormat="1" applyFont="1" applyBorder="1" applyAlignment="1">
      <alignment vertical="center" wrapText="1"/>
    </xf>
    <xf numFmtId="166" fontId="37" fillId="0" borderId="70" xfId="4" applyFont="1" applyBorder="1" applyAlignment="1">
      <alignment vertical="center" wrapText="1"/>
    </xf>
    <xf numFmtId="3" fontId="36" fillId="0" borderId="69" xfId="5" applyNumberFormat="1" applyFont="1" applyBorder="1" applyAlignment="1">
      <alignment vertical="center" wrapText="1"/>
    </xf>
    <xf numFmtId="173" fontId="37" fillId="56" borderId="44" xfId="3" applyNumberFormat="1" applyFont="1" applyFill="1" applyBorder="1" applyAlignment="1">
      <alignment horizontal="center" vertical="center" wrapText="1"/>
    </xf>
    <xf numFmtId="173" fontId="37" fillId="56" borderId="9" xfId="5" applyNumberFormat="1" applyFont="1" applyFill="1" applyBorder="1" applyAlignment="1">
      <alignment vertical="center" wrapText="1"/>
    </xf>
    <xf numFmtId="173" fontId="37" fillId="56" borderId="69" xfId="5" applyNumberFormat="1" applyFont="1" applyFill="1" applyBorder="1" applyAlignment="1">
      <alignment vertical="center" wrapText="1"/>
    </xf>
    <xf numFmtId="173" fontId="37" fillId="56" borderId="70" xfId="5" applyNumberFormat="1" applyFont="1" applyFill="1" applyBorder="1" applyAlignment="1">
      <alignment vertical="center" wrapText="1"/>
    </xf>
    <xf numFmtId="173" fontId="37" fillId="56" borderId="41" xfId="5" applyNumberFormat="1" applyFont="1" applyFill="1" applyBorder="1" applyAlignment="1">
      <alignment vertical="center" wrapText="1"/>
    </xf>
    <xf numFmtId="166" fontId="36" fillId="56" borderId="5" xfId="4" applyFont="1" applyFill="1" applyBorder="1" applyAlignment="1">
      <alignment vertical="center" wrapText="1"/>
    </xf>
    <xf numFmtId="166" fontId="36" fillId="56" borderId="0" xfId="4" applyFont="1" applyFill="1" applyBorder="1" applyAlignment="1">
      <alignment vertical="center" wrapText="1"/>
    </xf>
    <xf numFmtId="166" fontId="36" fillId="56" borderId="9" xfId="4" applyFont="1" applyFill="1" applyBorder="1" applyAlignment="1">
      <alignment vertical="center" wrapText="1"/>
    </xf>
    <xf numFmtId="173" fontId="37" fillId="56" borderId="69" xfId="3" applyNumberFormat="1" applyFont="1" applyFill="1" applyBorder="1" applyAlignment="1">
      <alignment horizontal="center" vertical="center" wrapText="1"/>
    </xf>
    <xf numFmtId="166" fontId="37" fillId="56" borderId="5" xfId="4" applyFont="1" applyFill="1" applyBorder="1" applyAlignment="1">
      <alignment vertical="center" wrapText="1"/>
    </xf>
    <xf numFmtId="173" fontId="37" fillId="56" borderId="5" xfId="3" applyNumberFormat="1" applyFont="1" applyFill="1" applyBorder="1" applyAlignment="1">
      <alignment horizontal="center" vertical="center" wrapText="1"/>
    </xf>
    <xf numFmtId="3" fontId="36" fillId="56" borderId="0" xfId="5" applyNumberFormat="1" applyFont="1" applyFill="1" applyAlignment="1">
      <alignment vertical="center" wrapText="1"/>
    </xf>
    <xf numFmtId="3" fontId="37" fillId="0" borderId="19" xfId="5" applyNumberFormat="1" applyFont="1" applyBorder="1" applyAlignment="1">
      <alignment horizontal="center" vertical="center" wrapText="1"/>
    </xf>
    <xf numFmtId="9" fontId="37" fillId="0" borderId="43" xfId="3" applyFont="1" applyBorder="1" applyAlignment="1">
      <alignment vertical="center" wrapText="1"/>
    </xf>
    <xf numFmtId="3" fontId="37" fillId="44" borderId="25" xfId="5" applyNumberFormat="1" applyFont="1" applyFill="1" applyBorder="1" applyAlignment="1">
      <alignment vertical="center" wrapText="1"/>
    </xf>
    <xf numFmtId="1" fontId="37" fillId="44" borderId="69" xfId="5" applyNumberFormat="1" applyFont="1" applyFill="1" applyBorder="1" applyAlignment="1">
      <alignment horizontal="center" vertical="center" wrapText="1"/>
    </xf>
    <xf numFmtId="173" fontId="37" fillId="44" borderId="41" xfId="3" applyNumberFormat="1" applyFont="1" applyFill="1" applyBorder="1" applyAlignment="1">
      <alignment horizontal="center" vertical="center" wrapText="1"/>
    </xf>
    <xf numFmtId="3" fontId="37" fillId="44" borderId="40" xfId="5" applyNumberFormat="1" applyFont="1" applyFill="1" applyBorder="1" applyAlignment="1">
      <alignment vertical="center" wrapText="1"/>
    </xf>
    <xf numFmtId="3" fontId="37" fillId="44" borderId="41" xfId="5" applyNumberFormat="1" applyFont="1" applyFill="1" applyBorder="1" applyAlignment="1">
      <alignment vertical="center" wrapText="1"/>
    </xf>
    <xf numFmtId="173" fontId="37" fillId="44" borderId="25" xfId="3" applyNumberFormat="1" applyFont="1" applyFill="1" applyBorder="1" applyAlignment="1">
      <alignment horizontal="center" vertical="center" wrapText="1"/>
    </xf>
    <xf numFmtId="9" fontId="37" fillId="44" borderId="40" xfId="3" applyFont="1" applyFill="1" applyBorder="1" applyAlignment="1">
      <alignment horizontal="center" vertical="center" wrapText="1"/>
    </xf>
    <xf numFmtId="9" fontId="37" fillId="44" borderId="41" xfId="3" applyFont="1" applyFill="1" applyBorder="1" applyAlignment="1">
      <alignment horizontal="center" vertical="center" wrapText="1"/>
    </xf>
    <xf numFmtId="166" fontId="36" fillId="44" borderId="41" xfId="4" applyFont="1" applyFill="1" applyBorder="1" applyAlignment="1">
      <alignment vertical="center" wrapText="1"/>
    </xf>
    <xf numFmtId="166" fontId="36" fillId="44" borderId="40" xfId="4" applyFont="1" applyFill="1" applyBorder="1" applyAlignment="1">
      <alignment vertical="center" wrapText="1"/>
    </xf>
    <xf numFmtId="0" fontId="37" fillId="44" borderId="70" xfId="3" applyNumberFormat="1" applyFont="1" applyFill="1" applyBorder="1" applyAlignment="1">
      <alignment vertical="center" wrapText="1"/>
    </xf>
    <xf numFmtId="166" fontId="37" fillId="44" borderId="41" xfId="4" applyFont="1" applyFill="1" applyBorder="1" applyAlignment="1">
      <alignment vertical="center" wrapText="1"/>
    </xf>
    <xf numFmtId="3" fontId="36" fillId="44" borderId="19" xfId="5" applyNumberFormat="1" applyFont="1" applyFill="1" applyBorder="1" applyAlignment="1">
      <alignment vertical="center" wrapText="1"/>
    </xf>
    <xf numFmtId="3" fontId="36" fillId="44" borderId="34" xfId="5" applyNumberFormat="1" applyFont="1" applyFill="1" applyBorder="1" applyAlignment="1">
      <alignment vertical="center" wrapText="1"/>
    </xf>
    <xf numFmtId="3" fontId="36" fillId="44" borderId="16" xfId="5" applyNumberFormat="1" applyFont="1" applyFill="1" applyBorder="1" applyAlignment="1">
      <alignment vertical="center" wrapText="1"/>
    </xf>
    <xf numFmtId="3" fontId="36" fillId="44" borderId="18" xfId="5" applyNumberFormat="1" applyFont="1" applyFill="1" applyBorder="1" applyAlignment="1">
      <alignment vertical="center" wrapText="1"/>
    </xf>
    <xf numFmtId="0" fontId="30" fillId="44" borderId="41" xfId="5" applyFont="1" applyFill="1" applyBorder="1" applyAlignment="1">
      <alignment vertical="center" wrapText="1"/>
    </xf>
    <xf numFmtId="0" fontId="30" fillId="53" borderId="41" xfId="0" applyFont="1" applyFill="1" applyBorder="1" applyAlignment="1">
      <alignment vertical="top" wrapText="1"/>
    </xf>
    <xf numFmtId="3" fontId="37" fillId="54" borderId="43" xfId="5" applyNumberFormat="1" applyFont="1" applyFill="1" applyBorder="1" applyAlignment="1">
      <alignment vertical="center" wrapText="1"/>
    </xf>
    <xf numFmtId="14" fontId="37" fillId="54" borderId="40" xfId="5" applyNumberFormat="1" applyFont="1" applyFill="1" applyBorder="1" applyAlignment="1">
      <alignment vertical="center" wrapText="1"/>
    </xf>
    <xf numFmtId="166" fontId="36" fillId="54" borderId="44" xfId="4" applyFont="1" applyFill="1" applyBorder="1" applyAlignment="1">
      <alignment vertical="center" wrapText="1"/>
    </xf>
    <xf numFmtId="166" fontId="36" fillId="54" borderId="43" xfId="4" applyFont="1" applyFill="1" applyBorder="1" applyAlignment="1">
      <alignment vertical="center" wrapText="1"/>
    </xf>
    <xf numFmtId="166" fontId="37" fillId="54" borderId="44" xfId="4" applyFont="1" applyFill="1" applyBorder="1" applyAlignment="1">
      <alignment vertical="center" wrapText="1"/>
    </xf>
    <xf numFmtId="173" fontId="37" fillId="54" borderId="44" xfId="3" applyNumberFormat="1" applyFont="1" applyFill="1" applyBorder="1" applyAlignment="1">
      <alignment horizontal="center" vertical="center" wrapText="1"/>
    </xf>
    <xf numFmtId="3" fontId="36" fillId="54" borderId="22" xfId="5" applyNumberFormat="1" applyFont="1" applyFill="1" applyBorder="1" applyAlignment="1">
      <alignment vertical="center" wrapText="1"/>
    </xf>
    <xf numFmtId="1" fontId="37" fillId="0" borderId="69" xfId="5" applyNumberFormat="1" applyFont="1" applyBorder="1" applyAlignment="1">
      <alignment horizontal="center" vertical="center" wrapText="1"/>
    </xf>
    <xf numFmtId="9" fontId="37" fillId="0" borderId="70" xfId="3" applyFont="1" applyFill="1" applyBorder="1" applyAlignment="1">
      <alignment horizontal="center" vertical="center" wrapText="1"/>
    </xf>
    <xf numFmtId="173" fontId="37" fillId="0" borderId="70" xfId="3" applyNumberFormat="1" applyFont="1" applyFill="1" applyBorder="1" applyAlignment="1">
      <alignment horizontal="center" vertical="center" wrapText="1"/>
    </xf>
    <xf numFmtId="0" fontId="30" fillId="0" borderId="70" xfId="5" applyFont="1" applyBorder="1" applyAlignment="1">
      <alignment horizontal="center" vertical="center" wrapText="1"/>
    </xf>
    <xf numFmtId="14" fontId="37" fillId="0" borderId="69" xfId="5" applyNumberFormat="1" applyFont="1" applyBorder="1" applyAlignment="1">
      <alignment vertical="center" wrapText="1"/>
    </xf>
    <xf numFmtId="166" fontId="36" fillId="54" borderId="72" xfId="4" applyFont="1" applyFill="1" applyBorder="1" applyAlignment="1">
      <alignment vertical="center" wrapText="1"/>
    </xf>
    <xf numFmtId="166" fontId="36" fillId="0" borderId="41" xfId="4" applyFont="1" applyFill="1" applyBorder="1" applyAlignment="1">
      <alignment vertical="center" wrapText="1"/>
    </xf>
    <xf numFmtId="3" fontId="36" fillId="0" borderId="40" xfId="5" applyNumberFormat="1" applyFont="1" applyBorder="1" applyAlignment="1">
      <alignment vertical="center" wrapText="1"/>
    </xf>
    <xf numFmtId="0" fontId="33" fillId="52" borderId="70" xfId="0" applyFont="1" applyFill="1" applyBorder="1" applyAlignment="1">
      <alignment vertical="top" wrapText="1"/>
    </xf>
    <xf numFmtId="14" fontId="37" fillId="44" borderId="40" xfId="5" applyNumberFormat="1" applyFont="1" applyFill="1" applyBorder="1" applyAlignment="1">
      <alignment vertical="center" wrapText="1"/>
    </xf>
    <xf numFmtId="173" fontId="37" fillId="44" borderId="40" xfId="3" applyNumberFormat="1" applyFont="1" applyFill="1" applyBorder="1" applyAlignment="1">
      <alignment horizontal="center" vertical="center" wrapText="1"/>
    </xf>
    <xf numFmtId="166" fontId="36" fillId="54" borderId="75" xfId="4" applyFont="1" applyFill="1" applyBorder="1" applyAlignment="1">
      <alignment vertical="center" wrapText="1"/>
    </xf>
    <xf numFmtId="3" fontId="37" fillId="54" borderId="44" xfId="5" applyNumberFormat="1" applyFont="1" applyFill="1" applyBorder="1" applyAlignment="1">
      <alignment vertical="center" wrapText="1"/>
    </xf>
    <xf numFmtId="166" fontId="36" fillId="56" borderId="75" xfId="4" applyFont="1" applyFill="1" applyBorder="1" applyAlignment="1">
      <alignment vertical="center" wrapText="1"/>
    </xf>
    <xf numFmtId="166" fontId="36" fillId="0" borderId="75" xfId="4" applyFont="1" applyBorder="1" applyAlignment="1">
      <alignment vertical="center" wrapText="1"/>
    </xf>
    <xf numFmtId="166" fontId="36" fillId="0" borderId="44" xfId="4" applyFont="1" applyFill="1" applyBorder="1" applyAlignment="1">
      <alignment vertical="center" wrapText="1"/>
    </xf>
    <xf numFmtId="3" fontId="36" fillId="0" borderId="43" xfId="5" applyNumberFormat="1" applyFont="1" applyBorder="1" applyAlignment="1">
      <alignment vertical="center" wrapText="1"/>
    </xf>
    <xf numFmtId="3" fontId="36" fillId="0" borderId="41" xfId="5" applyNumberFormat="1" applyFont="1" applyBorder="1" applyAlignment="1">
      <alignment vertical="center" wrapText="1"/>
    </xf>
    <xf numFmtId="3" fontId="37" fillId="0" borderId="9" xfId="5" applyNumberFormat="1" applyFont="1" applyBorder="1" applyAlignment="1">
      <alignment vertical="center" wrapText="1"/>
    </xf>
    <xf numFmtId="0" fontId="37" fillId="0" borderId="69" xfId="5" applyFont="1" applyBorder="1" applyAlignment="1">
      <alignment vertical="center" wrapText="1"/>
    </xf>
    <xf numFmtId="0" fontId="37" fillId="44" borderId="43" xfId="5" applyFont="1" applyFill="1" applyBorder="1" applyAlignment="1">
      <alignment vertical="center" wrapText="1"/>
    </xf>
    <xf numFmtId="166" fontId="36" fillId="44" borderId="44" xfId="4" applyFont="1" applyFill="1" applyBorder="1" applyAlignment="1">
      <alignment vertical="center" wrapText="1"/>
    </xf>
    <xf numFmtId="166" fontId="36" fillId="44" borderId="75" xfId="4" applyFont="1" applyFill="1" applyBorder="1" applyAlignment="1">
      <alignment vertical="center" wrapText="1"/>
    </xf>
    <xf numFmtId="0" fontId="37" fillId="54" borderId="43" xfId="5" applyFont="1" applyFill="1" applyBorder="1" applyAlignment="1">
      <alignment vertical="center" wrapText="1"/>
    </xf>
    <xf numFmtId="0" fontId="37" fillId="56" borderId="43" xfId="5" applyFont="1" applyFill="1" applyBorder="1" applyAlignment="1">
      <alignment vertical="center" wrapText="1"/>
    </xf>
    <xf numFmtId="0" fontId="37" fillId="0" borderId="43" xfId="5" applyFont="1" applyBorder="1" applyAlignment="1">
      <alignment vertical="center" wrapText="1"/>
    </xf>
    <xf numFmtId="166" fontId="37" fillId="56" borderId="75" xfId="4" applyFont="1" applyFill="1" applyBorder="1" applyAlignment="1">
      <alignment vertical="center" wrapText="1"/>
    </xf>
    <xf numFmtId="10" fontId="37" fillId="44" borderId="41" xfId="3" applyNumberFormat="1" applyFont="1" applyFill="1" applyBorder="1" applyAlignment="1">
      <alignment horizontal="center" vertical="center" wrapText="1"/>
    </xf>
    <xf numFmtId="10" fontId="37" fillId="54" borderId="44" xfId="3" applyNumberFormat="1" applyFont="1" applyFill="1" applyBorder="1" applyAlignment="1">
      <alignment horizontal="center" vertical="center" wrapText="1"/>
    </xf>
    <xf numFmtId="10" fontId="37" fillId="56" borderId="44" xfId="3" applyNumberFormat="1" applyFont="1" applyFill="1" applyBorder="1" applyAlignment="1">
      <alignment horizontal="center" vertical="center" wrapText="1"/>
    </xf>
    <xf numFmtId="0" fontId="33" fillId="0" borderId="73" xfId="5" applyFont="1" applyBorder="1" applyAlignment="1">
      <alignment horizontal="center" vertical="center" wrapText="1"/>
    </xf>
    <xf numFmtId="173" fontId="37" fillId="0" borderId="19" xfId="3" applyNumberFormat="1" applyFont="1" applyFill="1" applyBorder="1" applyAlignment="1">
      <alignment horizontal="center" vertical="center" wrapText="1"/>
    </xf>
    <xf numFmtId="3" fontId="37" fillId="56" borderId="70" xfId="5" applyNumberFormat="1" applyFont="1" applyFill="1" applyBorder="1" applyAlignment="1">
      <alignment vertical="center" wrapText="1"/>
    </xf>
    <xf numFmtId="9" fontId="37" fillId="56" borderId="69" xfId="3" applyFont="1" applyFill="1" applyBorder="1" applyAlignment="1">
      <alignment horizontal="center" vertical="center" wrapText="1"/>
    </xf>
    <xf numFmtId="9" fontId="37" fillId="56" borderId="70" xfId="3" applyFont="1" applyFill="1" applyBorder="1" applyAlignment="1">
      <alignment horizontal="center" vertical="center" wrapText="1"/>
    </xf>
    <xf numFmtId="9" fontId="37" fillId="0" borderId="69" xfId="3" applyFont="1" applyFill="1" applyBorder="1" applyAlignment="1">
      <alignment horizontal="center" vertical="center" wrapText="1"/>
    </xf>
    <xf numFmtId="173" fontId="37" fillId="0" borderId="72" xfId="3" applyNumberFormat="1" applyFont="1" applyFill="1" applyBorder="1" applyAlignment="1">
      <alignment horizontal="center" vertical="center" wrapText="1"/>
    </xf>
    <xf numFmtId="3" fontId="37" fillId="0" borderId="13" xfId="5" applyNumberFormat="1" applyFont="1" applyBorder="1" applyAlignment="1">
      <alignment vertical="center" wrapText="1"/>
    </xf>
    <xf numFmtId="9" fontId="37" fillId="0" borderId="10" xfId="3" applyFont="1" applyFill="1" applyBorder="1" applyAlignment="1">
      <alignment horizontal="center" vertical="center" wrapText="1"/>
    </xf>
    <xf numFmtId="9" fontId="37" fillId="0" borderId="13" xfId="3" applyFont="1" applyFill="1" applyBorder="1" applyAlignment="1">
      <alignment horizontal="center" vertical="center" wrapText="1"/>
    </xf>
    <xf numFmtId="0" fontId="34" fillId="13" borderId="8" xfId="5" applyFont="1" applyFill="1" applyBorder="1" applyAlignment="1">
      <alignment horizontal="center" vertical="center" wrapText="1"/>
    </xf>
    <xf numFmtId="9" fontId="34" fillId="13" borderId="8" xfId="3" applyFont="1" applyFill="1" applyBorder="1" applyAlignment="1">
      <alignment horizontal="center" vertical="center" wrapText="1"/>
    </xf>
    <xf numFmtId="166" fontId="36" fillId="13" borderId="12" xfId="4" applyFont="1" applyFill="1" applyBorder="1" applyAlignment="1">
      <alignment vertical="center" wrapText="1"/>
    </xf>
    <xf numFmtId="173" fontId="36" fillId="13" borderId="12" xfId="3" applyNumberFormat="1" applyFont="1" applyFill="1" applyBorder="1" applyAlignment="1">
      <alignment horizontal="center" vertical="center" wrapText="1"/>
    </xf>
    <xf numFmtId="169" fontId="36" fillId="13" borderId="12" xfId="4" applyNumberFormat="1" applyFont="1" applyFill="1" applyBorder="1" applyAlignment="1">
      <alignment vertical="center" wrapText="1"/>
    </xf>
    <xf numFmtId="0" fontId="30" fillId="0" borderId="0" xfId="5" applyFont="1" applyAlignment="1">
      <alignment vertical="top" wrapText="1"/>
    </xf>
    <xf numFmtId="173" fontId="30" fillId="0" borderId="0" xfId="3" applyNumberFormat="1" applyFont="1" applyAlignment="1">
      <alignment horizontal="center" vertical="center" wrapText="1"/>
    </xf>
    <xf numFmtId="9" fontId="30" fillId="0" borderId="0" xfId="3" applyFont="1" applyAlignment="1">
      <alignment vertical="center" wrapText="1"/>
    </xf>
    <xf numFmtId="0" fontId="33" fillId="0" borderId="0" xfId="5" applyFont="1" applyAlignment="1">
      <alignment horizontal="right" vertical="center"/>
    </xf>
    <xf numFmtId="173" fontId="33" fillId="0" borderId="0" xfId="3" applyNumberFormat="1" applyFont="1" applyAlignment="1">
      <alignment horizontal="center" vertical="center" wrapText="1"/>
    </xf>
    <xf numFmtId="9" fontId="33" fillId="0" borderId="0" xfId="3" applyFont="1" applyAlignment="1">
      <alignment horizontal="center" vertical="center" wrapText="1"/>
    </xf>
    <xf numFmtId="9" fontId="33" fillId="0" borderId="0" xfId="3" applyFont="1" applyAlignment="1">
      <alignment horizontal="left" vertical="center" wrapText="1"/>
    </xf>
    <xf numFmtId="166" fontId="37" fillId="0" borderId="22" xfId="4" applyFont="1" applyBorder="1" applyAlignment="1">
      <alignment vertical="center" wrapText="1"/>
    </xf>
    <xf numFmtId="166" fontId="37" fillId="0" borderId="45" xfId="4" applyFont="1" applyBorder="1" applyAlignment="1">
      <alignment vertical="center" wrapText="1"/>
    </xf>
    <xf numFmtId="9" fontId="37" fillId="56" borderId="9" xfId="3" applyFont="1" applyFill="1" applyBorder="1" applyAlignment="1">
      <alignment horizontal="center" vertical="center" wrapText="1"/>
    </xf>
    <xf numFmtId="9" fontId="37" fillId="56" borderId="43" xfId="3" applyFont="1" applyFill="1" applyBorder="1" applyAlignment="1">
      <alignment horizontal="center" vertical="center" wrapText="1"/>
    </xf>
    <xf numFmtId="9" fontId="37" fillId="54" borderId="43" xfId="3" applyFont="1" applyFill="1" applyBorder="1" applyAlignment="1">
      <alignment horizontal="center" vertical="center" wrapText="1"/>
    </xf>
    <xf numFmtId="9" fontId="37" fillId="44" borderId="44" xfId="3" applyFont="1" applyFill="1" applyBorder="1" applyAlignment="1">
      <alignment horizontal="center" vertical="center" wrapText="1"/>
    </xf>
    <xf numFmtId="9" fontId="37" fillId="54" borderId="44" xfId="3" applyFont="1" applyFill="1" applyBorder="1" applyAlignment="1">
      <alignment horizontal="center" vertical="center" wrapText="1"/>
    </xf>
    <xf numFmtId="9" fontId="37" fillId="56" borderId="44" xfId="3" applyFont="1" applyFill="1" applyBorder="1" applyAlignment="1">
      <alignment horizontal="center" vertical="center" wrapText="1"/>
    </xf>
    <xf numFmtId="0" fontId="27" fillId="3" borderId="8" xfId="0" applyFont="1" applyFill="1" applyBorder="1" applyAlignment="1" applyProtection="1">
      <alignment horizontal="left" vertical="top"/>
      <protection locked="0"/>
    </xf>
    <xf numFmtId="0" fontId="64" fillId="3" borderId="8" xfId="0" applyFont="1" applyFill="1" applyBorder="1" applyAlignment="1" applyProtection="1">
      <alignment horizontal="left" vertical="top"/>
      <protection locked="0"/>
    </xf>
    <xf numFmtId="0" fontId="64" fillId="3" borderId="8" xfId="0" applyFont="1" applyFill="1" applyBorder="1" applyAlignment="1" applyProtection="1">
      <alignment horizontal="left" vertical="top" wrapText="1"/>
      <protection locked="0"/>
    </xf>
    <xf numFmtId="0" fontId="71" fillId="3" borderId="8" xfId="0" applyFont="1" applyFill="1" applyBorder="1" applyAlignment="1" applyProtection="1">
      <alignment vertical="top"/>
      <protection locked="0"/>
    </xf>
    <xf numFmtId="166" fontId="37" fillId="0" borderId="40" xfId="4" applyFont="1" applyBorder="1" applyAlignment="1">
      <alignment vertical="center" wrapText="1"/>
    </xf>
    <xf numFmtId="166" fontId="37" fillId="0" borderId="43" xfId="4" applyFont="1" applyBorder="1" applyAlignment="1">
      <alignment vertical="center" wrapText="1"/>
    </xf>
    <xf numFmtId="10" fontId="37" fillId="0" borderId="40" xfId="3" applyNumberFormat="1" applyFont="1" applyFill="1" applyBorder="1" applyAlignment="1">
      <alignment horizontal="center" vertical="center" wrapText="1"/>
    </xf>
    <xf numFmtId="3" fontId="37" fillId="0" borderId="43" xfId="5" applyNumberFormat="1" applyFont="1" applyBorder="1" applyAlignment="1">
      <alignment horizontal="center" vertical="center" wrapText="1"/>
    </xf>
    <xf numFmtId="3" fontId="37" fillId="0" borderId="40" xfId="5" applyNumberFormat="1" applyFont="1" applyBorder="1" applyAlignment="1">
      <alignment horizontal="center" vertical="center" wrapText="1"/>
    </xf>
    <xf numFmtId="3" fontId="37" fillId="0" borderId="70" xfId="5" applyNumberFormat="1" applyFont="1" applyBorder="1" applyAlignment="1">
      <alignment horizontal="center" vertical="center" wrapText="1"/>
    </xf>
    <xf numFmtId="3" fontId="37" fillId="56" borderId="43" xfId="5" applyNumberFormat="1" applyFont="1" applyFill="1" applyBorder="1" applyAlignment="1">
      <alignment horizontal="center" vertical="center" wrapText="1"/>
    </xf>
    <xf numFmtId="3" fontId="37" fillId="0" borderId="41" xfId="5" applyNumberFormat="1" applyFont="1" applyBorder="1" applyAlignment="1">
      <alignment horizontal="center" vertical="center" wrapText="1"/>
    </xf>
    <xf numFmtId="3" fontId="37" fillId="54" borderId="44" xfId="5" applyNumberFormat="1" applyFont="1" applyFill="1" applyBorder="1" applyAlignment="1">
      <alignment horizontal="center" vertical="center" wrapText="1"/>
    </xf>
    <xf numFmtId="3" fontId="37" fillId="56" borderId="44" xfId="5" applyNumberFormat="1" applyFont="1" applyFill="1" applyBorder="1" applyAlignment="1">
      <alignment horizontal="center" vertical="center" wrapText="1"/>
    </xf>
    <xf numFmtId="3" fontId="37" fillId="0" borderId="44" xfId="5" applyNumberFormat="1" applyFont="1" applyBorder="1" applyAlignment="1">
      <alignment horizontal="center" vertical="center" wrapText="1"/>
    </xf>
    <xf numFmtId="166" fontId="36" fillId="44" borderId="69" xfId="4" applyFont="1" applyFill="1" applyBorder="1" applyAlignment="1">
      <alignment vertical="center" wrapText="1"/>
    </xf>
    <xf numFmtId="0" fontId="36" fillId="3" borderId="1" xfId="5" applyFont="1" applyFill="1" applyBorder="1" applyAlignment="1">
      <alignment horizontal="center" vertical="center" wrapText="1"/>
    </xf>
    <xf numFmtId="0" fontId="36" fillId="3" borderId="13" xfId="5" applyFont="1" applyFill="1" applyBorder="1" applyAlignment="1">
      <alignment horizontal="center" vertical="center" wrapText="1"/>
    </xf>
    <xf numFmtId="166" fontId="37" fillId="0" borderId="40" xfId="4" applyFont="1" applyFill="1" applyBorder="1" applyAlignment="1">
      <alignment vertical="center" wrapText="1"/>
    </xf>
    <xf numFmtId="9" fontId="37" fillId="0" borderId="43" xfId="3" applyFont="1" applyBorder="1" applyAlignment="1">
      <alignment horizontal="center" vertical="center" wrapText="1"/>
    </xf>
    <xf numFmtId="166" fontId="37" fillId="0" borderId="43" xfId="4" applyFont="1" applyFill="1" applyBorder="1" applyAlignment="1">
      <alignment vertical="center" wrapText="1"/>
    </xf>
    <xf numFmtId="166" fontId="37" fillId="0" borderId="41" xfId="4" applyFont="1" applyFill="1" applyBorder="1" applyAlignment="1">
      <alignment vertical="center" wrapText="1"/>
    </xf>
    <xf numFmtId="9" fontId="37" fillId="0" borderId="41" xfId="3" applyFont="1" applyBorder="1" applyAlignment="1">
      <alignment horizontal="center" vertical="center" wrapText="1"/>
    </xf>
    <xf numFmtId="166" fontId="37" fillId="0" borderId="44" xfId="4" applyFont="1" applyFill="1" applyBorder="1" applyAlignment="1">
      <alignment vertical="center" wrapText="1"/>
    </xf>
    <xf numFmtId="9" fontId="37" fillId="0" borderId="44" xfId="3" applyFont="1" applyBorder="1" applyAlignment="1">
      <alignment horizontal="center" vertical="center" wrapText="1"/>
    </xf>
    <xf numFmtId="0" fontId="33" fillId="0" borderId="0" xfId="5" applyFont="1" applyAlignment="1">
      <alignment horizontal="left" vertical="center" wrapText="1"/>
    </xf>
    <xf numFmtId="0" fontId="33" fillId="0" borderId="0" xfId="5" applyFont="1" applyAlignment="1">
      <alignment horizontal="center" vertical="center" wrapText="1"/>
    </xf>
    <xf numFmtId="0" fontId="34" fillId="13" borderId="7" xfId="5" applyFont="1" applyFill="1" applyBorder="1" applyAlignment="1">
      <alignment horizontal="center" vertical="center" wrapText="1"/>
    </xf>
    <xf numFmtId="0" fontId="36" fillId="17" borderId="13" xfId="5" applyFont="1" applyFill="1" applyBorder="1" applyAlignment="1">
      <alignment horizontal="center" vertical="center" wrapText="1"/>
    </xf>
    <xf numFmtId="0" fontId="36" fillId="15" borderId="14" xfId="5" applyFont="1" applyFill="1" applyBorder="1" applyAlignment="1">
      <alignment horizontal="center" vertical="center" wrapText="1"/>
    </xf>
    <xf numFmtId="0" fontId="35" fillId="13" borderId="3" xfId="5" applyFont="1" applyFill="1" applyBorder="1" applyAlignment="1">
      <alignment horizontal="center" vertical="center" wrapText="1"/>
    </xf>
    <xf numFmtId="49" fontId="47" fillId="21" borderId="57" xfId="0" quotePrefix="1" applyNumberFormat="1"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72" fillId="57" borderId="76" xfId="0" applyFont="1" applyFill="1" applyBorder="1" applyAlignment="1">
      <alignment vertical="top"/>
    </xf>
    <xf numFmtId="0" fontId="72" fillId="57" borderId="76" xfId="0" applyFont="1" applyFill="1" applyBorder="1" applyAlignment="1">
      <alignment vertical="top" wrapText="1"/>
    </xf>
    <xf numFmtId="9" fontId="73" fillId="57" borderId="77" xfId="0" applyNumberFormat="1" applyFont="1" applyFill="1" applyBorder="1" applyAlignment="1">
      <alignment horizontal="right" vertical="top"/>
    </xf>
    <xf numFmtId="9" fontId="72" fillId="58" borderId="78" xfId="0" applyNumberFormat="1" applyFont="1" applyFill="1" applyBorder="1" applyAlignment="1">
      <alignment horizontal="center" vertical="top" wrapText="1"/>
    </xf>
    <xf numFmtId="169" fontId="64" fillId="3" borderId="16" xfId="4" applyNumberFormat="1" applyFont="1" applyFill="1" applyBorder="1" applyAlignment="1" applyProtection="1">
      <alignment horizontal="right" vertical="top"/>
      <protection locked="0"/>
    </xf>
    <xf numFmtId="0" fontId="36" fillId="17" borderId="10" xfId="5" applyFont="1" applyFill="1" applyBorder="1" applyAlignment="1">
      <alignment horizontal="center" vertical="center" wrapText="1"/>
    </xf>
    <xf numFmtId="0" fontId="75" fillId="9" borderId="0" xfId="0" applyFont="1" applyFill="1" applyAlignment="1">
      <alignment horizontal="center" wrapText="1"/>
    </xf>
    <xf numFmtId="3" fontId="37" fillId="9" borderId="41" xfId="5" applyNumberFormat="1" applyFont="1" applyFill="1" applyBorder="1" applyAlignment="1">
      <alignment vertical="center" wrapText="1"/>
    </xf>
    <xf numFmtId="166" fontId="36" fillId="0" borderId="69" xfId="4" applyFont="1" applyBorder="1" applyAlignment="1">
      <alignment vertical="center" wrapText="1"/>
    </xf>
    <xf numFmtId="166" fontId="37" fillId="0" borderId="70" xfId="4" applyFont="1" applyFill="1" applyBorder="1" applyAlignment="1">
      <alignment vertical="center" wrapText="1"/>
    </xf>
    <xf numFmtId="0" fontId="76" fillId="9" borderId="0" xfId="0" applyFont="1" applyFill="1" applyAlignment="1">
      <alignment horizontal="center" vertical="center" wrapText="1"/>
    </xf>
    <xf numFmtId="0" fontId="30" fillId="3" borderId="41" xfId="5" applyFont="1" applyFill="1" applyBorder="1" applyAlignment="1">
      <alignment horizontal="center" vertical="center" wrapText="1"/>
    </xf>
    <xf numFmtId="0" fontId="77" fillId="60" borderId="0" xfId="0" applyFont="1" applyFill="1" applyAlignment="1">
      <alignment horizontal="center" vertical="center" wrapText="1"/>
    </xf>
    <xf numFmtId="3" fontId="74" fillId="0" borderId="40" xfId="5" applyNumberFormat="1" applyFont="1" applyBorder="1" applyAlignment="1">
      <alignment vertical="center" wrapText="1"/>
    </xf>
    <xf numFmtId="173" fontId="37" fillId="9" borderId="41" xfId="3" applyNumberFormat="1" applyFont="1" applyFill="1" applyBorder="1" applyAlignment="1">
      <alignment horizontal="center" vertical="center" wrapText="1"/>
    </xf>
    <xf numFmtId="0" fontId="78" fillId="0" borderId="0" xfId="0" applyFont="1" applyAlignment="1">
      <alignment horizontal="center" vertical="center" wrapText="1"/>
    </xf>
    <xf numFmtId="0" fontId="77" fillId="9" borderId="0" xfId="0" applyFont="1" applyFill="1" applyAlignment="1">
      <alignment horizontal="center" vertical="center" wrapText="1"/>
    </xf>
    <xf numFmtId="166" fontId="36" fillId="44" borderId="43" xfId="4" applyFont="1" applyFill="1" applyBorder="1" applyAlignment="1">
      <alignment vertical="center" wrapText="1"/>
    </xf>
    <xf numFmtId="0" fontId="37" fillId="9" borderId="43" xfId="5" applyFont="1" applyFill="1" applyBorder="1" applyAlignment="1">
      <alignment vertical="center" wrapText="1"/>
    </xf>
    <xf numFmtId="0" fontId="79" fillId="0" borderId="0" xfId="0" applyFont="1" applyAlignment="1">
      <alignment horizontal="center" vertical="center" wrapText="1"/>
    </xf>
    <xf numFmtId="0" fontId="81" fillId="0" borderId="0" xfId="0" applyFont="1" applyAlignment="1">
      <alignment horizontal="center" vertical="center" wrapText="1"/>
    </xf>
    <xf numFmtId="9" fontId="37" fillId="0" borderId="19" xfId="3" applyFont="1" applyFill="1" applyBorder="1" applyAlignment="1">
      <alignment horizontal="center" vertical="center" wrapText="1"/>
    </xf>
    <xf numFmtId="0" fontId="74" fillId="0" borderId="43" xfId="5" applyFont="1" applyBorder="1" applyAlignment="1">
      <alignment vertical="center" wrapText="1"/>
    </xf>
    <xf numFmtId="173" fontId="33" fillId="13" borderId="7" xfId="3" applyNumberFormat="1" applyFont="1" applyFill="1" applyBorder="1" applyAlignment="1">
      <alignment horizontal="center" vertical="center" wrapText="1"/>
    </xf>
    <xf numFmtId="173" fontId="30" fillId="0" borderId="0" xfId="3" applyNumberFormat="1" applyFont="1" applyAlignment="1">
      <alignment vertical="center" wrapText="1"/>
    </xf>
    <xf numFmtId="166" fontId="30" fillId="0" borderId="0" xfId="4" applyFont="1" applyAlignment="1">
      <alignment vertical="center" wrapText="1"/>
    </xf>
    <xf numFmtId="166" fontId="30" fillId="0" borderId="0" xfId="4" applyFont="1" applyAlignment="1">
      <alignment vertical="center"/>
    </xf>
    <xf numFmtId="166" fontId="30" fillId="0" borderId="0" xfId="4" applyFont="1" applyAlignment="1">
      <alignment horizontal="center" vertical="center" wrapText="1"/>
    </xf>
    <xf numFmtId="4" fontId="30" fillId="47" borderId="58" xfId="0" quotePrefix="1" applyNumberFormat="1" applyFont="1" applyFill="1" applyBorder="1" applyAlignment="1">
      <alignment horizontal="right" vertical="center" wrapText="1"/>
    </xf>
    <xf numFmtId="3" fontId="50" fillId="0" borderId="56" xfId="0" applyNumberFormat="1" applyFont="1" applyBorder="1" applyAlignment="1">
      <alignment horizontal="left" vertical="center"/>
    </xf>
    <xf numFmtId="165" fontId="30" fillId="0" borderId="58" xfId="6" quotePrefix="1" applyFont="1" applyBorder="1" applyAlignment="1">
      <alignment horizontal="right" vertical="center" wrapText="1"/>
    </xf>
    <xf numFmtId="165" fontId="30" fillId="9" borderId="58" xfId="6" quotePrefix="1" applyFont="1" applyFill="1" applyBorder="1" applyAlignment="1">
      <alignment horizontal="right" vertical="center" wrapText="1"/>
    </xf>
    <xf numFmtId="165" fontId="30" fillId="48" borderId="58" xfId="6" quotePrefix="1" applyFont="1" applyFill="1" applyBorder="1" applyAlignment="1">
      <alignment horizontal="right" vertical="center" wrapText="1"/>
    </xf>
    <xf numFmtId="165" fontId="30" fillId="0" borderId="58" xfId="6" quotePrefix="1" applyFont="1" applyFill="1" applyBorder="1" applyAlignment="1">
      <alignment horizontal="right" vertical="center" wrapText="1"/>
    </xf>
    <xf numFmtId="165" fontId="33" fillId="35" borderId="58" xfId="6" quotePrefix="1" applyFont="1" applyFill="1" applyBorder="1" applyAlignment="1">
      <alignment horizontal="right" vertical="center" wrapText="1"/>
    </xf>
    <xf numFmtId="165" fontId="30" fillId="39" borderId="58" xfId="6" quotePrefix="1" applyFont="1" applyFill="1" applyBorder="1" applyAlignment="1">
      <alignment horizontal="right" vertical="center" wrapText="1"/>
    </xf>
    <xf numFmtId="165" fontId="33" fillId="30" borderId="58" xfId="6" quotePrefix="1" applyFont="1" applyFill="1" applyBorder="1" applyAlignment="1">
      <alignment horizontal="right" vertical="center" wrapText="1"/>
    </xf>
    <xf numFmtId="176" fontId="33" fillId="30" borderId="58" xfId="0" quotePrefix="1" applyNumberFormat="1" applyFont="1" applyFill="1" applyBorder="1" applyAlignment="1">
      <alignment horizontal="right" vertical="center" wrapText="1"/>
    </xf>
    <xf numFmtId="3" fontId="0" fillId="62" borderId="0" xfId="0" applyNumberFormat="1" applyFill="1" applyAlignment="1">
      <alignment horizontal="right" vertical="center" wrapText="1"/>
    </xf>
    <xf numFmtId="175" fontId="0" fillId="0" borderId="0" xfId="0" applyNumberFormat="1" applyAlignment="1">
      <alignment vertical="center"/>
    </xf>
    <xf numFmtId="0" fontId="45" fillId="0" borderId="56" xfId="0" applyFont="1" applyBorder="1" applyAlignment="1">
      <alignment horizontal="center" vertical="center" wrapText="1"/>
    </xf>
    <xf numFmtId="49" fontId="47" fillId="21" borderId="59" xfId="0" applyNumberFormat="1" applyFont="1" applyFill="1" applyBorder="1" applyAlignment="1">
      <alignment horizontal="center" wrapText="1"/>
    </xf>
    <xf numFmtId="49" fontId="47" fillId="21" borderId="59" xfId="0" quotePrefix="1" applyNumberFormat="1" applyFont="1" applyFill="1" applyBorder="1" applyAlignment="1">
      <alignment horizontal="center" wrapText="1"/>
    </xf>
    <xf numFmtId="167" fontId="47" fillId="21" borderId="57" xfId="0" applyNumberFormat="1" applyFont="1" applyFill="1" applyBorder="1" applyAlignment="1">
      <alignment horizontal="center" wrapText="1"/>
    </xf>
    <xf numFmtId="49" fontId="47" fillId="21" borderId="57" xfId="0" applyNumberFormat="1" applyFont="1" applyFill="1" applyBorder="1" applyAlignment="1">
      <alignment horizontal="center" wrapText="1"/>
    </xf>
    <xf numFmtId="43" fontId="37" fillId="0" borderId="70" xfId="3" applyNumberFormat="1" applyFont="1" applyFill="1" applyBorder="1" applyAlignment="1">
      <alignment vertical="center" wrapText="1"/>
    </xf>
    <xf numFmtId="0" fontId="21" fillId="0" borderId="0" xfId="11"/>
    <xf numFmtId="0" fontId="21" fillId="0" borderId="0" xfId="11" applyAlignment="1">
      <alignment vertical="center"/>
    </xf>
    <xf numFmtId="0" fontId="43" fillId="0" borderId="48" xfId="11" applyFont="1" applyBorder="1" applyAlignment="1">
      <alignment horizontal="center" vertical="center"/>
    </xf>
    <xf numFmtId="0" fontId="22" fillId="0" borderId="0" xfId="11" applyFont="1"/>
    <xf numFmtId="49" fontId="44" fillId="0" borderId="53" xfId="5" quotePrefix="1" applyNumberFormat="1" applyFont="1" applyBorder="1" applyAlignment="1">
      <alignment vertical="center" wrapText="1"/>
    </xf>
    <xf numFmtId="0" fontId="22" fillId="0" borderId="0" xfId="11" applyFont="1" applyAlignment="1">
      <alignment horizontal="center" wrapText="1"/>
    </xf>
    <xf numFmtId="49" fontId="44" fillId="63" borderId="52" xfId="5" applyNumberFormat="1" applyFont="1" applyFill="1" applyBorder="1" applyAlignment="1">
      <alignment horizontal="center" vertical="center"/>
    </xf>
    <xf numFmtId="0" fontId="44" fillId="63" borderId="52" xfId="5" applyFont="1" applyFill="1" applyBorder="1" applyAlignment="1">
      <alignment horizontal="left" vertical="center"/>
    </xf>
    <xf numFmtId="0" fontId="44" fillId="63" borderId="52" xfId="5" applyFont="1" applyFill="1" applyBorder="1" applyAlignment="1">
      <alignment horizontal="left" vertical="center" wrapText="1"/>
    </xf>
    <xf numFmtId="170" fontId="44" fillId="63" borderId="52" xfId="7" applyNumberFormat="1" applyFont="1" applyFill="1" applyBorder="1" applyAlignment="1">
      <alignment horizontal="right" vertical="center"/>
    </xf>
    <xf numFmtId="170" fontId="44" fillId="9" borderId="52" xfId="7" applyNumberFormat="1" applyFont="1" applyFill="1" applyBorder="1" applyAlignment="1">
      <alignment horizontal="right" vertical="center"/>
    </xf>
    <xf numFmtId="0" fontId="44" fillId="63" borderId="52" xfId="12" applyNumberFormat="1" applyFont="1" applyFill="1" applyBorder="1" applyAlignment="1">
      <alignment horizontal="right" vertical="center"/>
    </xf>
    <xf numFmtId="49" fontId="44" fillId="63" borderId="52" xfId="5" applyNumberFormat="1" applyFont="1" applyFill="1" applyBorder="1" applyAlignment="1">
      <alignment horizontal="left" vertical="center"/>
    </xf>
    <xf numFmtId="0" fontId="22" fillId="63" borderId="0" xfId="11" applyFont="1" applyFill="1"/>
    <xf numFmtId="170" fontId="22" fillId="63" borderId="0" xfId="11" applyNumberFormat="1" applyFont="1" applyFill="1"/>
    <xf numFmtId="0" fontId="44" fillId="19" borderId="52" xfId="5" applyFont="1" applyFill="1" applyBorder="1" applyAlignment="1">
      <alignment horizontal="left" vertical="center" wrapText="1"/>
    </xf>
    <xf numFmtId="170" fontId="44" fillId="19" borderId="52" xfId="7" applyNumberFormat="1" applyFont="1" applyFill="1" applyBorder="1" applyAlignment="1">
      <alignment horizontal="right" vertical="center"/>
    </xf>
    <xf numFmtId="9" fontId="44" fillId="19" borderId="52" xfId="12" applyFont="1" applyFill="1" applyBorder="1" applyAlignment="1">
      <alignment horizontal="right" vertical="center"/>
    </xf>
    <xf numFmtId="49" fontId="44" fillId="19" borderId="52" xfId="5" applyNumberFormat="1" applyFont="1" applyFill="1" applyBorder="1" applyAlignment="1">
      <alignment horizontal="left" vertical="center"/>
    </xf>
    <xf numFmtId="0" fontId="22" fillId="19" borderId="0" xfId="11" applyFont="1" applyFill="1"/>
    <xf numFmtId="0" fontId="44" fillId="64" borderId="52" xfId="5" applyFont="1" applyFill="1" applyBorder="1" applyAlignment="1">
      <alignment horizontal="center" vertical="center"/>
    </xf>
    <xf numFmtId="49" fontId="44" fillId="64" borderId="52" xfId="5" applyNumberFormat="1" applyFont="1" applyFill="1" applyBorder="1" applyAlignment="1">
      <alignment horizontal="center" vertical="center"/>
    </xf>
    <xf numFmtId="0" fontId="44" fillId="64" borderId="52" xfId="5" applyFont="1" applyFill="1" applyBorder="1" applyAlignment="1">
      <alignment horizontal="left" vertical="center" wrapText="1"/>
    </xf>
    <xf numFmtId="170" fontId="44" fillId="64" borderId="52" xfId="7" applyNumberFormat="1" applyFont="1" applyFill="1" applyBorder="1" applyAlignment="1">
      <alignment horizontal="right" vertical="center"/>
    </xf>
    <xf numFmtId="9" fontId="44" fillId="64" borderId="52" xfId="12" applyFont="1" applyFill="1" applyBorder="1" applyAlignment="1">
      <alignment horizontal="right" vertical="center"/>
    </xf>
    <xf numFmtId="49" fontId="44" fillId="64" borderId="52" xfId="5" applyNumberFormat="1" applyFont="1" applyFill="1" applyBorder="1" applyAlignment="1">
      <alignment horizontal="left" vertical="center"/>
    </xf>
    <xf numFmtId="0" fontId="22" fillId="64" borderId="0" xfId="11" applyFont="1" applyFill="1"/>
    <xf numFmtId="0" fontId="44" fillId="20" borderId="52" xfId="5" applyFont="1" applyFill="1" applyBorder="1" applyAlignment="1">
      <alignment horizontal="center" vertical="center"/>
    </xf>
    <xf numFmtId="0" fontId="44" fillId="20" borderId="52" xfId="5" applyFont="1" applyFill="1" applyBorder="1" applyAlignment="1">
      <alignment horizontal="left" vertical="center" wrapText="1"/>
    </xf>
    <xf numFmtId="170" fontId="44" fillId="20" borderId="52" xfId="7" applyNumberFormat="1" applyFont="1" applyFill="1" applyBorder="1" applyAlignment="1">
      <alignment horizontal="right" vertical="center"/>
    </xf>
    <xf numFmtId="9" fontId="44" fillId="20" borderId="52" xfId="12" applyFont="1" applyFill="1" applyBorder="1" applyAlignment="1">
      <alignment horizontal="right" vertical="center"/>
    </xf>
    <xf numFmtId="0" fontId="22" fillId="20" borderId="0" xfId="11" applyFont="1" applyFill="1"/>
    <xf numFmtId="0" fontId="44" fillId="65" borderId="52" xfId="5" applyFont="1" applyFill="1" applyBorder="1" applyAlignment="1">
      <alignment horizontal="center" vertical="center"/>
    </xf>
    <xf numFmtId="49" fontId="44" fillId="65" borderId="52" xfId="5" applyNumberFormat="1" applyFont="1" applyFill="1" applyBorder="1" applyAlignment="1">
      <alignment horizontal="center" vertical="center"/>
    </xf>
    <xf numFmtId="0" fontId="44" fillId="65" borderId="52" xfId="5" applyFont="1" applyFill="1" applyBorder="1" applyAlignment="1">
      <alignment horizontal="left" vertical="center" wrapText="1"/>
    </xf>
    <xf numFmtId="170" fontId="44" fillId="65" borderId="52" xfId="7" applyNumberFormat="1" applyFont="1" applyFill="1" applyBorder="1" applyAlignment="1">
      <alignment horizontal="right" vertical="center"/>
    </xf>
    <xf numFmtId="9" fontId="44" fillId="65" borderId="52" xfId="12" applyFont="1" applyFill="1" applyBorder="1" applyAlignment="1">
      <alignment horizontal="right" vertical="center"/>
    </xf>
    <xf numFmtId="49" fontId="44" fillId="65" borderId="52" xfId="5" applyNumberFormat="1" applyFont="1" applyFill="1" applyBorder="1" applyAlignment="1">
      <alignment horizontal="left" vertical="center"/>
    </xf>
    <xf numFmtId="0" fontId="22" fillId="65" borderId="0" xfId="11" applyFont="1" applyFill="1"/>
    <xf numFmtId="0" fontId="44" fillId="66" borderId="52" xfId="5" applyFont="1" applyFill="1" applyBorder="1" applyAlignment="1">
      <alignment horizontal="center" vertical="center"/>
    </xf>
    <xf numFmtId="49" fontId="44" fillId="66" borderId="52" xfId="5" applyNumberFormat="1" applyFont="1" applyFill="1" applyBorder="1" applyAlignment="1">
      <alignment horizontal="center" vertical="center"/>
    </xf>
    <xf numFmtId="0" fontId="44" fillId="66" borderId="52" xfId="5" applyFont="1" applyFill="1" applyBorder="1" applyAlignment="1">
      <alignment horizontal="left" vertical="center" wrapText="1"/>
    </xf>
    <xf numFmtId="170" fontId="44" fillId="66" borderId="52" xfId="7" applyNumberFormat="1" applyFont="1" applyFill="1" applyBorder="1" applyAlignment="1">
      <alignment horizontal="right" vertical="center"/>
    </xf>
    <xf numFmtId="9" fontId="44" fillId="66" borderId="52" xfId="12" applyFont="1" applyFill="1" applyBorder="1" applyAlignment="1">
      <alignment horizontal="right" vertical="center"/>
    </xf>
    <xf numFmtId="49" fontId="44" fillId="66" borderId="52" xfId="5" applyNumberFormat="1" applyFont="1" applyFill="1" applyBorder="1" applyAlignment="1">
      <alignment horizontal="left" vertical="center"/>
    </xf>
    <xf numFmtId="0" fontId="22" fillId="66" borderId="0" xfId="11" applyFont="1" applyFill="1"/>
    <xf numFmtId="0" fontId="44" fillId="0" borderId="52" xfId="5" applyFont="1" applyBorder="1" applyAlignment="1">
      <alignment horizontal="left" vertical="center" wrapText="1"/>
    </xf>
    <xf numFmtId="170" fontId="44" fillId="0" borderId="52" xfId="7" applyNumberFormat="1" applyFont="1" applyFill="1" applyBorder="1" applyAlignment="1">
      <alignment horizontal="right" vertical="center"/>
    </xf>
    <xf numFmtId="9" fontId="44" fillId="0" borderId="52" xfId="12" applyFont="1" applyFill="1" applyBorder="1" applyAlignment="1">
      <alignment horizontal="right" vertical="center"/>
    </xf>
    <xf numFmtId="0" fontId="46" fillId="56" borderId="52" xfId="5" applyFont="1" applyFill="1" applyBorder="1" applyAlignment="1">
      <alignment horizontal="left" vertical="center" wrapText="1"/>
    </xf>
    <xf numFmtId="170" fontId="46" fillId="9" borderId="52" xfId="7" applyNumberFormat="1" applyFont="1" applyFill="1" applyBorder="1" applyAlignment="1">
      <alignment horizontal="right" vertical="center"/>
    </xf>
    <xf numFmtId="170" fontId="46" fillId="0" borderId="52" xfId="7" applyNumberFormat="1" applyFont="1" applyFill="1" applyBorder="1" applyAlignment="1">
      <alignment horizontal="right" vertical="center"/>
    </xf>
    <xf numFmtId="170" fontId="46" fillId="56" borderId="52" xfId="7" applyNumberFormat="1" applyFont="1" applyFill="1" applyBorder="1" applyAlignment="1">
      <alignment horizontal="right" vertical="center"/>
    </xf>
    <xf numFmtId="170" fontId="46" fillId="3" borderId="52" xfId="7" applyNumberFormat="1" applyFont="1" applyFill="1" applyBorder="1" applyAlignment="1">
      <alignment horizontal="right" vertical="center"/>
    </xf>
    <xf numFmtId="9" fontId="46" fillId="0" borderId="52" xfId="12" applyFont="1" applyFill="1" applyBorder="1" applyAlignment="1">
      <alignment horizontal="right" vertical="center"/>
    </xf>
    <xf numFmtId="166" fontId="0" fillId="0" borderId="0" xfId="4" applyFont="1"/>
    <xf numFmtId="166" fontId="22" fillId="0" borderId="0" xfId="4" applyFont="1"/>
    <xf numFmtId="166" fontId="0" fillId="0" borderId="0" xfId="11" applyNumberFormat="1" applyFont="1"/>
    <xf numFmtId="1" fontId="44" fillId="66" borderId="52" xfId="5" applyNumberFormat="1" applyFont="1" applyFill="1" applyBorder="1" applyAlignment="1">
      <alignment horizontal="center" vertical="center"/>
    </xf>
    <xf numFmtId="166" fontId="22" fillId="66" borderId="0" xfId="4" applyFont="1" applyFill="1"/>
    <xf numFmtId="1" fontId="44" fillId="20" borderId="52" xfId="5" applyNumberFormat="1" applyFont="1" applyFill="1" applyBorder="1" applyAlignment="1">
      <alignment horizontal="center" vertical="center"/>
    </xf>
    <xf numFmtId="1" fontId="44" fillId="65" borderId="52" xfId="5" applyNumberFormat="1" applyFont="1" applyFill="1" applyBorder="1" applyAlignment="1">
      <alignment horizontal="center" vertical="center"/>
    </xf>
    <xf numFmtId="0" fontId="44" fillId="67" borderId="52" xfId="5" applyFont="1" applyFill="1" applyBorder="1" applyAlignment="1">
      <alignment horizontal="center" vertical="center"/>
    </xf>
    <xf numFmtId="49" fontId="44" fillId="67" borderId="52" xfId="5" applyNumberFormat="1" applyFont="1" applyFill="1" applyBorder="1" applyAlignment="1">
      <alignment horizontal="center" vertical="center"/>
    </xf>
    <xf numFmtId="1" fontId="44" fillId="67" borderId="52" xfId="5" applyNumberFormat="1" applyFont="1" applyFill="1" applyBorder="1" applyAlignment="1">
      <alignment horizontal="center" vertical="center"/>
    </xf>
    <xf numFmtId="0" fontId="44" fillId="67" borderId="52" xfId="5" applyFont="1" applyFill="1" applyBorder="1" applyAlignment="1">
      <alignment horizontal="left" vertical="center" wrapText="1"/>
    </xf>
    <xf numFmtId="170" fontId="44" fillId="67" borderId="52" xfId="7" applyNumberFormat="1" applyFont="1" applyFill="1" applyBorder="1" applyAlignment="1">
      <alignment horizontal="right" vertical="center"/>
    </xf>
    <xf numFmtId="9" fontId="44" fillId="67" borderId="52" xfId="12" applyFont="1" applyFill="1" applyBorder="1" applyAlignment="1">
      <alignment horizontal="right" vertical="center"/>
    </xf>
    <xf numFmtId="49" fontId="44" fillId="67" borderId="52" xfId="5" applyNumberFormat="1" applyFont="1" applyFill="1" applyBorder="1" applyAlignment="1">
      <alignment horizontal="left" vertical="center"/>
    </xf>
    <xf numFmtId="0" fontId="22" fillId="67" borderId="0" xfId="11" applyFont="1" applyFill="1"/>
    <xf numFmtId="1" fontId="44" fillId="0" borderId="52" xfId="5" applyNumberFormat="1" applyFont="1" applyBorder="1" applyAlignment="1">
      <alignment horizontal="center" vertical="center"/>
    </xf>
    <xf numFmtId="170" fontId="22" fillId="0" borderId="0" xfId="11" applyNumberFormat="1" applyFont="1"/>
    <xf numFmtId="170" fontId="46" fillId="0" borderId="52" xfId="7" applyNumberFormat="1" applyFont="1" applyBorder="1" applyAlignment="1">
      <alignment horizontal="right" vertical="center"/>
    </xf>
    <xf numFmtId="170" fontId="44" fillId="3" borderId="52" xfId="7" applyNumberFormat="1" applyFont="1" applyFill="1" applyBorder="1" applyAlignment="1">
      <alignment horizontal="right" vertical="center"/>
    </xf>
    <xf numFmtId="170" fontId="50" fillId="0" borderId="52" xfId="7" applyNumberFormat="1" applyFont="1" applyFill="1" applyBorder="1" applyAlignment="1">
      <alignment horizontal="right" vertical="center"/>
    </xf>
    <xf numFmtId="170" fontId="0" fillId="0" borderId="0" xfId="11" applyNumberFormat="1" applyFont="1"/>
    <xf numFmtId="49" fontId="44" fillId="65" borderId="52" xfId="5" applyNumberFormat="1" applyFont="1" applyFill="1" applyBorder="1" applyAlignment="1">
      <alignment horizontal="right" vertical="center"/>
    </xf>
    <xf numFmtId="9" fontId="44" fillId="65" borderId="52" xfId="12" applyFont="1" applyFill="1" applyBorder="1" applyAlignment="1">
      <alignment horizontal="center" vertical="center"/>
    </xf>
    <xf numFmtId="3" fontId="44" fillId="65" borderId="52" xfId="5" applyNumberFormat="1" applyFont="1" applyFill="1" applyBorder="1" applyAlignment="1">
      <alignment horizontal="right" vertical="center"/>
    </xf>
    <xf numFmtId="0" fontId="44" fillId="65" borderId="52" xfId="5" applyFont="1" applyFill="1" applyBorder="1" applyAlignment="1">
      <alignment horizontal="left" vertical="center"/>
    </xf>
    <xf numFmtId="0" fontId="44" fillId="56" borderId="52" xfId="5" applyFont="1" applyFill="1" applyBorder="1" applyAlignment="1">
      <alignment horizontal="left" vertical="center"/>
    </xf>
    <xf numFmtId="170" fontId="44" fillId="56" borderId="52" xfId="7" applyNumberFormat="1" applyFont="1" applyFill="1" applyBorder="1" applyAlignment="1">
      <alignment horizontal="right" vertical="center"/>
    </xf>
    <xf numFmtId="170" fontId="82" fillId="56" borderId="52" xfId="7" applyNumberFormat="1" applyFont="1" applyFill="1" applyBorder="1" applyAlignment="1">
      <alignment horizontal="right" vertical="center"/>
    </xf>
    <xf numFmtId="177" fontId="44" fillId="65" borderId="52" xfId="3" applyNumberFormat="1" applyFont="1" applyFill="1" applyBorder="1" applyAlignment="1">
      <alignment horizontal="right" vertical="center"/>
    </xf>
    <xf numFmtId="9" fontId="44" fillId="65" borderId="52" xfId="3" applyFont="1" applyFill="1" applyBorder="1" applyAlignment="1">
      <alignment horizontal="right" vertical="center"/>
    </xf>
    <xf numFmtId="178" fontId="44" fillId="65" borderId="52" xfId="3" applyNumberFormat="1" applyFont="1" applyFill="1" applyBorder="1" applyAlignment="1">
      <alignment horizontal="right" vertical="center"/>
    </xf>
    <xf numFmtId="167" fontId="82" fillId="56" borderId="52" xfId="7" applyNumberFormat="1" applyFont="1" applyFill="1" applyBorder="1" applyAlignment="1">
      <alignment horizontal="right" vertical="center"/>
    </xf>
    <xf numFmtId="178" fontId="82" fillId="0" borderId="52" xfId="3" applyNumberFormat="1" applyFont="1" applyFill="1" applyBorder="1" applyAlignment="1">
      <alignment horizontal="right" vertical="center"/>
    </xf>
    <xf numFmtId="179" fontId="82" fillId="0" borderId="52" xfId="3" applyNumberFormat="1" applyFont="1" applyFill="1" applyBorder="1" applyAlignment="1">
      <alignment horizontal="right" vertical="center"/>
    </xf>
    <xf numFmtId="177" fontId="44" fillId="0" borderId="52" xfId="3" applyNumberFormat="1" applyFont="1" applyFill="1" applyBorder="1" applyAlignment="1">
      <alignment horizontal="right" vertical="center"/>
    </xf>
    <xf numFmtId="0" fontId="44" fillId="56" borderId="52" xfId="5" applyFont="1" applyFill="1" applyBorder="1" applyAlignment="1">
      <alignment horizontal="left" vertical="center" wrapText="1"/>
    </xf>
    <xf numFmtId="167" fontId="44" fillId="56" borderId="52" xfId="7" applyNumberFormat="1" applyFont="1" applyFill="1" applyBorder="1" applyAlignment="1">
      <alignment horizontal="right" vertical="center"/>
    </xf>
    <xf numFmtId="0" fontId="44" fillId="19" borderId="52" xfId="5" applyFont="1" applyFill="1" applyBorder="1" applyAlignment="1">
      <alignment horizontal="center" vertical="center"/>
    </xf>
    <xf numFmtId="0" fontId="46" fillId="0" borderId="0" xfId="5" applyFont="1" applyAlignment="1">
      <alignment horizontal="left" vertical="center" wrapText="1"/>
    </xf>
    <xf numFmtId="170" fontId="46" fillId="0" borderId="0" xfId="7" applyNumberFormat="1" applyFont="1" applyFill="1" applyBorder="1" applyAlignment="1">
      <alignment horizontal="right" vertical="center"/>
    </xf>
    <xf numFmtId="10" fontId="46" fillId="0" borderId="0" xfId="12" applyNumberFormat="1" applyFont="1" applyFill="1" applyBorder="1" applyAlignment="1">
      <alignment horizontal="right" vertical="center"/>
    </xf>
    <xf numFmtId="49" fontId="46" fillId="0" borderId="0" xfId="5" applyNumberFormat="1" applyFont="1" applyAlignment="1">
      <alignment horizontal="left" vertical="center"/>
    </xf>
    <xf numFmtId="166" fontId="46" fillId="0" borderId="0" xfId="7" applyFont="1" applyFill="1" applyBorder="1" applyAlignment="1">
      <alignment horizontal="right" vertical="center"/>
    </xf>
    <xf numFmtId="0" fontId="46" fillId="0" borderId="49" xfId="5" applyFont="1" applyBorder="1" applyAlignment="1">
      <alignment horizontal="left" vertical="center" wrapText="1"/>
    </xf>
    <xf numFmtId="166" fontId="46" fillId="0" borderId="49" xfId="7" applyFont="1" applyFill="1" applyBorder="1" applyAlignment="1">
      <alignment horizontal="right" vertical="center"/>
    </xf>
    <xf numFmtId="10" fontId="46" fillId="0" borderId="49" xfId="12" applyNumberFormat="1" applyFont="1" applyFill="1" applyBorder="1" applyAlignment="1">
      <alignment horizontal="right" vertical="center"/>
    </xf>
    <xf numFmtId="49" fontId="46" fillId="0" borderId="49" xfId="5" applyNumberFormat="1" applyFont="1" applyBorder="1" applyAlignment="1">
      <alignment horizontal="left" vertical="center"/>
    </xf>
    <xf numFmtId="166" fontId="46" fillId="0" borderId="52" xfId="7" applyFont="1" applyFill="1" applyBorder="1" applyAlignment="1">
      <alignment horizontal="right" vertical="center"/>
    </xf>
    <xf numFmtId="10" fontId="46" fillId="0" borderId="52" xfId="12" applyNumberFormat="1" applyFont="1" applyFill="1" applyBorder="1" applyAlignment="1">
      <alignment horizontal="right" vertical="center"/>
    </xf>
    <xf numFmtId="49" fontId="46" fillId="0" borderId="52" xfId="5" applyNumberFormat="1" applyFont="1" applyBorder="1" applyAlignment="1">
      <alignment horizontal="left" vertical="center" wrapText="1"/>
    </xf>
    <xf numFmtId="166" fontId="46" fillId="0" borderId="52" xfId="7" applyFont="1" applyFill="1" applyBorder="1" applyAlignment="1">
      <alignment horizontal="left" vertical="center"/>
    </xf>
    <xf numFmtId="10" fontId="46" fillId="0" borderId="52" xfId="12" applyNumberFormat="1" applyFont="1" applyFill="1" applyBorder="1" applyAlignment="1">
      <alignment horizontal="left" vertical="center"/>
    </xf>
    <xf numFmtId="169" fontId="46" fillId="0" borderId="52" xfId="7" applyNumberFormat="1" applyFont="1" applyFill="1" applyBorder="1" applyAlignment="1">
      <alignment horizontal="left" vertical="center"/>
    </xf>
    <xf numFmtId="0" fontId="46" fillId="19" borderId="52" xfId="5" applyFont="1" applyFill="1" applyBorder="1" applyAlignment="1">
      <alignment horizontal="left" vertical="center" wrapText="1"/>
    </xf>
    <xf numFmtId="169" fontId="46" fillId="19" borderId="52" xfId="7" applyNumberFormat="1" applyFont="1" applyFill="1" applyBorder="1" applyAlignment="1">
      <alignment horizontal="left" vertical="center"/>
    </xf>
    <xf numFmtId="169" fontId="46" fillId="19" borderId="52" xfId="7" applyNumberFormat="1" applyFont="1" applyFill="1" applyBorder="1" applyAlignment="1">
      <alignment horizontal="left" vertical="center" wrapText="1"/>
    </xf>
    <xf numFmtId="0" fontId="46" fillId="9" borderId="52" xfId="5" applyFont="1" applyFill="1" applyBorder="1" applyAlignment="1">
      <alignment horizontal="left" vertical="center" wrapText="1"/>
    </xf>
    <xf numFmtId="0" fontId="21" fillId="0" borderId="0" xfId="11" applyAlignment="1">
      <alignment wrapText="1"/>
    </xf>
    <xf numFmtId="172" fontId="30" fillId="9" borderId="58" xfId="4" applyNumberFormat="1" applyFont="1" applyFill="1" applyBorder="1" applyAlignment="1">
      <alignment horizontal="center"/>
    </xf>
    <xf numFmtId="166" fontId="55" fillId="23" borderId="58" xfId="4" applyFont="1" applyFill="1" applyBorder="1" applyAlignment="1">
      <alignment horizontal="center" vertical="center"/>
    </xf>
    <xf numFmtId="3" fontId="83" fillId="0" borderId="58" xfId="4" applyNumberFormat="1" applyFont="1" applyFill="1" applyBorder="1" applyAlignment="1">
      <alignment horizontal="right" vertical="center"/>
    </xf>
    <xf numFmtId="49" fontId="47" fillId="21" borderId="89" xfId="0" quotePrefix="1" applyNumberFormat="1" applyFont="1" applyFill="1" applyBorder="1" applyAlignment="1">
      <alignment horizontal="center" vertical="center" wrapText="1"/>
    </xf>
    <xf numFmtId="49" fontId="47" fillId="21" borderId="90" xfId="0" quotePrefix="1" applyNumberFormat="1" applyFont="1" applyFill="1" applyBorder="1" applyAlignment="1">
      <alignment horizontal="center" wrapText="1"/>
    </xf>
    <xf numFmtId="0" fontId="33" fillId="47" borderId="58" xfId="0" quotePrefix="1" applyFont="1" applyFill="1" applyBorder="1" applyAlignment="1">
      <alignment horizontal="center" vertical="center"/>
    </xf>
    <xf numFmtId="0" fontId="33" fillId="47" borderId="58" xfId="0" quotePrefix="1" applyFont="1" applyFill="1" applyBorder="1" applyAlignment="1">
      <alignment horizontal="left" vertical="center"/>
    </xf>
    <xf numFmtId="167" fontId="33" fillId="47" borderId="58" xfId="4" quotePrefix="1" applyNumberFormat="1" applyFont="1" applyFill="1" applyBorder="1" applyAlignment="1">
      <alignment horizontal="left" vertical="center"/>
    </xf>
    <xf numFmtId="3" fontId="22" fillId="0" borderId="0" xfId="0" applyNumberFormat="1" applyFont="1" applyAlignment="1">
      <alignment vertical="center"/>
    </xf>
    <xf numFmtId="167" fontId="30" fillId="47" borderId="58" xfId="4" applyNumberFormat="1" applyFont="1" applyFill="1" applyBorder="1" applyAlignment="1">
      <alignment horizontal="center" vertical="center"/>
    </xf>
    <xf numFmtId="166" fontId="53" fillId="0" borderId="0" xfId="4" applyFont="1" applyFill="1" applyAlignment="1">
      <alignment vertical="center"/>
    </xf>
    <xf numFmtId="3" fontId="30" fillId="0" borderId="58" xfId="0" quotePrefix="1" applyNumberFormat="1" applyFont="1" applyBorder="1" applyAlignment="1">
      <alignment horizontal="left" vertical="center" wrapText="1"/>
    </xf>
    <xf numFmtId="0" fontId="30" fillId="0" borderId="58" xfId="0" quotePrefix="1" applyFont="1" applyBorder="1" applyAlignment="1">
      <alignment horizontal="center" vertical="center"/>
    </xf>
    <xf numFmtId="0" fontId="30" fillId="0" borderId="58" xfId="0" applyFont="1" applyBorder="1" applyAlignment="1">
      <alignment vertical="center" wrapText="1"/>
    </xf>
    <xf numFmtId="165" fontId="30" fillId="0" borderId="58" xfId="6" applyFont="1" applyFill="1" applyBorder="1" applyAlignment="1">
      <alignment horizontal="right" vertical="center" wrapText="1"/>
    </xf>
    <xf numFmtId="0" fontId="30" fillId="0" borderId="58" xfId="0" quotePrefix="1" applyFont="1" applyBorder="1" applyAlignment="1">
      <alignment horizontal="center"/>
    </xf>
    <xf numFmtId="0" fontId="30" fillId="0" borderId="58" xfId="0" quotePrefix="1" applyFont="1" applyBorder="1" applyAlignment="1">
      <alignment horizontal="left" vertical="center"/>
    </xf>
    <xf numFmtId="166" fontId="50" fillId="0" borderId="56" xfId="4" applyFont="1" applyFill="1" applyBorder="1" applyAlignment="1">
      <alignment horizontal="left" vertical="center"/>
    </xf>
    <xf numFmtId="172" fontId="50" fillId="0" borderId="56" xfId="0" applyNumberFormat="1" applyFont="1" applyBorder="1" applyAlignment="1">
      <alignment horizontal="left" vertical="center"/>
    </xf>
    <xf numFmtId="166" fontId="30" fillId="39" borderId="58" xfId="4" applyFont="1" applyFill="1" applyBorder="1" applyAlignment="1">
      <alignment horizontal="center" vertical="center"/>
    </xf>
    <xf numFmtId="166" fontId="30" fillId="0" borderId="58" xfId="4" applyFont="1" applyFill="1" applyBorder="1" applyAlignment="1">
      <alignment horizontal="center" vertical="center"/>
    </xf>
    <xf numFmtId="181" fontId="50" fillId="0" borderId="56" xfId="0" applyNumberFormat="1" applyFont="1" applyBorder="1" applyAlignment="1">
      <alignment horizontal="left" vertical="center"/>
    </xf>
    <xf numFmtId="172" fontId="84" fillId="0" borderId="58" xfId="4" applyNumberFormat="1" applyFont="1" applyFill="1" applyBorder="1" applyAlignment="1">
      <alignment horizontal="center" vertical="center"/>
    </xf>
    <xf numFmtId="167" fontId="84" fillId="0" borderId="58" xfId="4" applyNumberFormat="1" applyFont="1" applyFill="1" applyBorder="1" applyAlignment="1">
      <alignment horizontal="center" vertical="center"/>
    </xf>
    <xf numFmtId="167" fontId="33" fillId="35" borderId="58" xfId="0" quotePrefix="1" applyNumberFormat="1" applyFont="1" applyFill="1" applyBorder="1" applyAlignment="1">
      <alignment horizontal="right" vertical="center" wrapText="1"/>
    </xf>
    <xf numFmtId="4" fontId="33" fillId="35" borderId="58" xfId="0" quotePrefix="1" applyNumberFormat="1" applyFont="1" applyFill="1" applyBorder="1" applyAlignment="1">
      <alignment horizontal="right" vertical="center" wrapText="1"/>
    </xf>
    <xf numFmtId="4" fontId="30" fillId="39" borderId="58" xfId="4" applyNumberFormat="1" applyFont="1" applyFill="1" applyBorder="1" applyAlignment="1">
      <alignment horizontal="center" vertical="center"/>
    </xf>
    <xf numFmtId="4" fontId="30" fillId="0" borderId="58" xfId="4" applyNumberFormat="1" applyFont="1" applyFill="1" applyBorder="1" applyAlignment="1">
      <alignment horizontal="center" vertical="center"/>
    </xf>
    <xf numFmtId="4" fontId="30" fillId="0" borderId="58" xfId="13" applyNumberFormat="1" applyFont="1" applyFill="1" applyBorder="1" applyAlignment="1">
      <alignment horizontal="center" vertical="center"/>
    </xf>
    <xf numFmtId="4" fontId="84" fillId="0" borderId="58" xfId="4" applyNumberFormat="1" applyFont="1" applyFill="1" applyBorder="1" applyAlignment="1">
      <alignment horizontal="center" vertical="center"/>
    </xf>
    <xf numFmtId="165" fontId="0" fillId="0" borderId="0" xfId="13" applyFont="1"/>
    <xf numFmtId="165" fontId="0" fillId="3" borderId="0" xfId="13" applyFont="1" applyFill="1" applyAlignment="1">
      <alignment horizontal="right" vertical="center" wrapText="1"/>
    </xf>
    <xf numFmtId="165" fontId="0" fillId="0" borderId="0" xfId="13" applyFont="1" applyAlignment="1">
      <alignment vertical="center"/>
    </xf>
    <xf numFmtId="165" fontId="30" fillId="0" borderId="58" xfId="13" applyFont="1" applyBorder="1" applyAlignment="1">
      <alignment horizontal="center" vertical="center"/>
    </xf>
    <xf numFmtId="0" fontId="30" fillId="0" borderId="0" xfId="0" applyFont="1" applyAlignment="1">
      <alignment horizontal="left" vertical="center" wrapText="1"/>
    </xf>
    <xf numFmtId="3" fontId="33" fillId="22" borderId="58" xfId="0" applyNumberFormat="1" applyFont="1" applyFill="1" applyBorder="1" applyAlignment="1">
      <alignment vertical="center" wrapText="1"/>
    </xf>
    <xf numFmtId="3" fontId="85" fillId="62" borderId="0" xfId="0" applyNumberFormat="1" applyFont="1" applyFill="1" applyAlignment="1">
      <alignment horizontal="right" vertical="center" wrapText="1"/>
    </xf>
    <xf numFmtId="9" fontId="37" fillId="56" borderId="44" xfId="3" applyFont="1" applyFill="1" applyBorder="1" applyAlignment="1">
      <alignment vertical="center" wrapText="1"/>
    </xf>
    <xf numFmtId="9" fontId="37" fillId="54" borderId="44" xfId="3" applyFont="1" applyFill="1" applyBorder="1" applyAlignment="1">
      <alignment vertical="center" wrapText="1"/>
    </xf>
    <xf numFmtId="173" fontId="37" fillId="56" borderId="44" xfId="3" applyNumberFormat="1" applyFont="1" applyFill="1" applyBorder="1" applyAlignment="1">
      <alignment vertical="center" wrapText="1"/>
    </xf>
    <xf numFmtId="3" fontId="4" fillId="3" borderId="7" xfId="0" applyNumberFormat="1" applyFont="1" applyFill="1" applyBorder="1" applyAlignment="1" applyProtection="1">
      <alignment horizontal="right" vertical="center" wrapText="1"/>
      <protection locked="0"/>
    </xf>
    <xf numFmtId="0" fontId="64" fillId="68" borderId="8" xfId="0" applyFont="1" applyFill="1" applyBorder="1" applyAlignment="1" applyProtection="1">
      <alignment horizontal="left" vertical="top" wrapText="1"/>
      <protection locked="0"/>
    </xf>
    <xf numFmtId="0" fontId="3" fillId="0" borderId="7" xfId="0" applyFont="1" applyBorder="1" applyAlignment="1">
      <alignment horizontal="center" vertical="top"/>
    </xf>
    <xf numFmtId="0" fontId="4" fillId="0" borderId="11" xfId="0" applyFont="1" applyBorder="1" applyAlignment="1">
      <alignment vertical="top"/>
    </xf>
    <xf numFmtId="173" fontId="4" fillId="0" borderId="15" xfId="0" applyNumberFormat="1" applyFont="1" applyBorder="1" applyAlignment="1">
      <alignment horizontal="center" vertical="top"/>
    </xf>
    <xf numFmtId="9" fontId="4" fillId="0" borderId="15" xfId="0" applyNumberFormat="1" applyFont="1" applyBorder="1" applyAlignment="1">
      <alignment horizontal="center" vertical="top"/>
    </xf>
    <xf numFmtId="0" fontId="4" fillId="3" borderId="7"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9" fontId="4" fillId="4" borderId="12" xfId="3" applyFont="1" applyFill="1" applyBorder="1" applyAlignment="1" applyProtection="1">
      <alignment horizontal="center" vertical="center"/>
    </xf>
    <xf numFmtId="3" fontId="64" fillId="4" borderId="13" xfId="0" applyNumberFormat="1" applyFont="1" applyFill="1" applyBorder="1" applyAlignment="1">
      <alignment horizontal="center" vertical="top"/>
    </xf>
    <xf numFmtId="3" fontId="4" fillId="3" borderId="8" xfId="0" applyNumberFormat="1" applyFont="1" applyFill="1" applyBorder="1" applyAlignment="1" applyProtection="1">
      <alignment horizontal="center" vertical="center" wrapText="1"/>
      <protection locked="0"/>
    </xf>
    <xf numFmtId="3" fontId="64" fillId="3" borderId="8" xfId="0" applyNumberFormat="1" applyFont="1" applyFill="1" applyBorder="1" applyAlignment="1" applyProtection="1">
      <alignment horizontal="center" vertical="center" wrapText="1"/>
      <protection locked="0"/>
    </xf>
    <xf numFmtId="3" fontId="4" fillId="4" borderId="8" xfId="0" applyNumberFormat="1" applyFont="1" applyFill="1" applyBorder="1" applyAlignment="1">
      <alignment horizontal="center" vertical="top" wrapText="1"/>
    </xf>
    <xf numFmtId="1" fontId="4" fillId="3" borderId="8" xfId="0" applyNumberFormat="1" applyFont="1" applyFill="1" applyBorder="1" applyAlignment="1" applyProtection="1">
      <alignment horizontal="center" vertical="top"/>
      <protection locked="0"/>
    </xf>
    <xf numFmtId="1" fontId="4" fillId="4" borderId="8" xfId="0" applyNumberFormat="1" applyFont="1" applyFill="1" applyBorder="1" applyAlignment="1">
      <alignment horizontal="center" vertical="top"/>
    </xf>
    <xf numFmtId="0" fontId="4" fillId="0" borderId="7" xfId="0" applyFont="1" applyBorder="1" applyAlignment="1">
      <alignment vertical="center"/>
    </xf>
    <xf numFmtId="0" fontId="4" fillId="3" borderId="7" xfId="0"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center" vertical="center" wrapText="1"/>
      <protection locked="0"/>
    </xf>
    <xf numFmtId="3" fontId="4" fillId="4" borderId="8" xfId="0" applyNumberFormat="1" applyFont="1" applyFill="1" applyBorder="1" applyAlignment="1">
      <alignment horizontal="center" vertical="center"/>
    </xf>
    <xf numFmtId="9" fontId="4" fillId="4" borderId="8" xfId="3" applyFont="1" applyFill="1" applyBorder="1" applyAlignment="1" applyProtection="1">
      <alignment horizontal="center" vertical="center"/>
    </xf>
    <xf numFmtId="9" fontId="4" fillId="3" borderId="12" xfId="0" applyNumberFormat="1" applyFont="1" applyFill="1" applyBorder="1" applyAlignment="1" applyProtection="1">
      <alignment horizontal="center" vertical="center"/>
      <protection locked="0"/>
    </xf>
    <xf numFmtId="9" fontId="4" fillId="4" borderId="12" xfId="0" applyNumberFormat="1" applyFont="1" applyFill="1" applyBorder="1" applyAlignment="1">
      <alignment horizontal="center" vertical="center"/>
    </xf>
    <xf numFmtId="0" fontId="4" fillId="0" borderId="12" xfId="0" applyFont="1" applyBorder="1" applyAlignment="1">
      <alignment vertical="center" wrapText="1"/>
    </xf>
    <xf numFmtId="3" fontId="4" fillId="4" borderId="8" xfId="0" applyNumberFormat="1" applyFont="1" applyFill="1" applyBorder="1" applyAlignment="1">
      <alignment horizontal="center" vertical="center" wrapText="1"/>
    </xf>
    <xf numFmtId="0" fontId="31" fillId="12" borderId="14" xfId="0" applyFont="1" applyFill="1" applyBorder="1" applyAlignment="1">
      <alignment horizontal="center" vertical="center" wrapText="1"/>
    </xf>
    <xf numFmtId="0" fontId="31" fillId="12" borderId="15"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3" fillId="0" borderId="0" xfId="5" applyFont="1" applyAlignment="1">
      <alignment horizontal="left" vertical="center" wrapText="1"/>
    </xf>
    <xf numFmtId="0" fontId="37" fillId="0" borderId="0" xfId="5" applyFont="1" applyAlignment="1">
      <alignment horizontal="justify" vertical="center" wrapText="1"/>
    </xf>
    <xf numFmtId="0" fontId="36" fillId="17" borderId="1" xfId="5" applyFont="1" applyFill="1" applyBorder="1" applyAlignment="1">
      <alignment horizontal="center" vertical="center" wrapText="1"/>
    </xf>
    <xf numFmtId="0" fontId="36" fillId="17" borderId="13" xfId="5" applyFont="1" applyFill="1" applyBorder="1" applyAlignment="1">
      <alignment horizontal="center" vertical="center" wrapText="1"/>
    </xf>
    <xf numFmtId="0" fontId="33" fillId="0" borderId="0" xfId="5" applyFont="1" applyAlignment="1">
      <alignment horizontal="center" vertical="center" wrapText="1"/>
    </xf>
    <xf numFmtId="0" fontId="33" fillId="13" borderId="14" xfId="5" applyFont="1" applyFill="1" applyBorder="1" applyAlignment="1">
      <alignment horizontal="center" vertical="center" wrapText="1"/>
    </xf>
    <xf numFmtId="0" fontId="33" fillId="13" borderId="7" xfId="5" applyFont="1" applyFill="1" applyBorder="1" applyAlignment="1">
      <alignment horizontal="center" vertical="center" wrapText="1"/>
    </xf>
    <xf numFmtId="9" fontId="36" fillId="16" borderId="1" xfId="3" applyFont="1" applyFill="1" applyBorder="1" applyAlignment="1">
      <alignment horizontal="center" vertical="center" wrapText="1"/>
    </xf>
    <xf numFmtId="9" fontId="36" fillId="16" borderId="5" xfId="3" applyFont="1" applyFill="1" applyBorder="1" applyAlignment="1">
      <alignment horizontal="center" vertical="center" wrapText="1"/>
    </xf>
    <xf numFmtId="0" fontId="33" fillId="59" borderId="1" xfId="5" applyFont="1" applyFill="1" applyBorder="1" applyAlignment="1">
      <alignment horizontal="center" vertical="center" wrapText="1"/>
    </xf>
    <xf numFmtId="0" fontId="33" fillId="59" borderId="13" xfId="5" applyFont="1" applyFill="1" applyBorder="1" applyAlignment="1">
      <alignment horizontal="center" vertical="center" wrapText="1"/>
    </xf>
    <xf numFmtId="0" fontId="59" fillId="15" borderId="1" xfId="5" applyFont="1" applyFill="1" applyBorder="1" applyAlignment="1">
      <alignment horizontal="center" vertical="center" wrapText="1"/>
    </xf>
    <xf numFmtId="0" fontId="59" fillId="15" borderId="13" xfId="5" applyFont="1" applyFill="1" applyBorder="1" applyAlignment="1">
      <alignment horizontal="center" vertical="center" wrapText="1"/>
    </xf>
    <xf numFmtId="0" fontId="59" fillId="59" borderId="1" xfId="5" applyFont="1" applyFill="1" applyBorder="1" applyAlignment="1">
      <alignment horizontal="center" vertical="center" wrapText="1"/>
    </xf>
    <xf numFmtId="0" fontId="59" fillId="59" borderId="13" xfId="5" applyFont="1" applyFill="1" applyBorder="1" applyAlignment="1">
      <alignment horizontal="center" vertical="center" wrapText="1"/>
    </xf>
    <xf numFmtId="0" fontId="36" fillId="15" borderId="1" xfId="5" applyFont="1" applyFill="1" applyBorder="1" applyAlignment="1">
      <alignment horizontal="center" vertical="center" wrapText="1"/>
    </xf>
    <xf numFmtId="0" fontId="36" fillId="15" borderId="13" xfId="5" applyFont="1" applyFill="1" applyBorder="1" applyAlignment="1">
      <alignment horizontal="center" vertical="center" wrapText="1"/>
    </xf>
    <xf numFmtId="0" fontId="30" fillId="0" borderId="0" xfId="5" applyFont="1" applyAlignment="1">
      <alignment horizontal="left" vertical="center" wrapText="1"/>
    </xf>
    <xf numFmtId="0" fontId="30" fillId="11" borderId="14" xfId="5" applyFont="1" applyFill="1" applyBorder="1" applyAlignment="1">
      <alignment horizontal="center" vertical="center" wrapText="1"/>
    </xf>
    <xf numFmtId="0" fontId="30" fillId="11" borderId="15" xfId="5" applyFont="1" applyFill="1" applyBorder="1" applyAlignment="1">
      <alignment horizontal="center" vertical="center" wrapText="1"/>
    </xf>
    <xf numFmtId="0" fontId="30" fillId="11" borderId="7" xfId="5" applyFont="1" applyFill="1" applyBorder="1" applyAlignment="1">
      <alignment horizontal="center" vertical="center" wrapText="1"/>
    </xf>
    <xf numFmtId="0" fontId="31" fillId="12" borderId="2" xfId="5" applyFont="1" applyFill="1" applyBorder="1" applyAlignment="1">
      <alignment horizontal="center" vertical="center" wrapText="1"/>
    </xf>
    <xf numFmtId="0" fontId="31" fillId="12" borderId="3" xfId="5" applyFont="1" applyFill="1" applyBorder="1" applyAlignment="1">
      <alignment horizontal="center" vertical="center" wrapText="1"/>
    </xf>
    <xf numFmtId="0" fontId="31" fillId="12" borderId="4" xfId="5" applyFont="1" applyFill="1" applyBorder="1" applyAlignment="1">
      <alignment horizontal="center" vertical="center" wrapText="1"/>
    </xf>
    <xf numFmtId="0" fontId="31" fillId="12" borderId="10" xfId="5" applyFont="1" applyFill="1" applyBorder="1" applyAlignment="1">
      <alignment horizontal="center" vertical="center" wrapText="1"/>
    </xf>
    <xf numFmtId="0" fontId="31" fillId="12" borderId="11" xfId="5" applyFont="1" applyFill="1" applyBorder="1" applyAlignment="1">
      <alignment horizontal="center" vertical="center" wrapText="1"/>
    </xf>
    <xf numFmtId="0" fontId="31" fillId="12" borderId="8" xfId="5" applyFont="1" applyFill="1" applyBorder="1" applyAlignment="1">
      <alignment horizontal="center" vertical="center" wrapText="1"/>
    </xf>
    <xf numFmtId="0" fontId="35" fillId="13" borderId="14" xfId="5" applyFont="1" applyFill="1" applyBorder="1" applyAlignment="1">
      <alignment horizontal="center" vertical="center" wrapText="1"/>
    </xf>
    <xf numFmtId="0" fontId="35" fillId="13" borderId="15" xfId="5" applyFont="1" applyFill="1" applyBorder="1" applyAlignment="1">
      <alignment horizontal="center" vertical="center" wrapText="1"/>
    </xf>
    <xf numFmtId="0" fontId="35" fillId="13" borderId="3" xfId="5" applyFont="1" applyFill="1" applyBorder="1" applyAlignment="1">
      <alignment horizontal="center" vertical="center" wrapText="1"/>
    </xf>
    <xf numFmtId="0" fontId="31" fillId="14" borderId="15" xfId="5" applyFont="1" applyFill="1" applyBorder="1" applyAlignment="1">
      <alignment horizontal="center" vertical="center" wrapText="1"/>
    </xf>
    <xf numFmtId="0" fontId="36" fillId="13" borderId="1" xfId="5" applyFont="1" applyFill="1" applyBorder="1" applyAlignment="1">
      <alignment horizontal="center" vertical="center" wrapText="1"/>
    </xf>
    <xf numFmtId="0" fontId="36" fillId="13" borderId="5" xfId="5" applyFont="1" applyFill="1" applyBorder="1" applyAlignment="1">
      <alignment horizontal="center" vertical="center" wrapText="1"/>
    </xf>
    <xf numFmtId="0" fontId="36" fillId="13" borderId="13" xfId="5" applyFont="1" applyFill="1" applyBorder="1" applyAlignment="1">
      <alignment horizontal="center" vertical="center" wrapText="1"/>
    </xf>
    <xf numFmtId="0" fontId="56" fillId="25" borderId="62" xfId="0" applyFont="1" applyFill="1" applyBorder="1" applyAlignment="1" applyProtection="1">
      <alignment horizontal="center" vertical="center" wrapText="1"/>
      <protection locked="0"/>
    </xf>
    <xf numFmtId="0" fontId="56" fillId="25" borderId="65" xfId="0" applyFont="1" applyFill="1" applyBorder="1" applyAlignment="1" applyProtection="1">
      <alignment horizontal="center" vertical="center" wrapText="1"/>
      <protection locked="0"/>
    </xf>
    <xf numFmtId="0" fontId="56" fillId="25" borderId="66" xfId="0" applyFont="1" applyFill="1" applyBorder="1" applyAlignment="1" applyProtection="1">
      <alignment horizontal="center" vertical="center" wrapText="1"/>
      <protection locked="0"/>
    </xf>
    <xf numFmtId="0" fontId="56" fillId="25" borderId="61" xfId="0" applyFont="1" applyFill="1" applyBorder="1" applyAlignment="1" applyProtection="1">
      <alignment horizontal="center" vertical="center" wrapText="1"/>
      <protection locked="0"/>
    </xf>
    <xf numFmtId="0" fontId="56" fillId="25" borderId="60" xfId="0" applyFont="1" applyFill="1" applyBorder="1" applyAlignment="1" applyProtection="1">
      <alignment horizontal="center" vertical="center" wrapText="1"/>
      <protection locked="0"/>
    </xf>
    <xf numFmtId="0" fontId="56" fillId="25" borderId="67" xfId="0" applyFont="1" applyFill="1" applyBorder="1" applyAlignment="1" applyProtection="1">
      <alignment horizontal="center" vertical="center" wrapText="1"/>
      <protection locked="0"/>
    </xf>
    <xf numFmtId="0" fontId="56" fillId="25" borderId="63" xfId="0" applyFont="1" applyFill="1" applyBorder="1" applyAlignment="1" applyProtection="1">
      <alignment horizontal="center" vertical="center" wrapText="1"/>
      <protection locked="0"/>
    </xf>
    <xf numFmtId="0" fontId="56" fillId="25" borderId="27" xfId="0" applyFont="1" applyFill="1" applyBorder="1" applyAlignment="1" applyProtection="1">
      <alignment horizontal="center" vertical="center" wrapText="1"/>
      <protection locked="0"/>
    </xf>
    <xf numFmtId="0" fontId="56" fillId="25" borderId="68" xfId="0" applyFont="1" applyFill="1" applyBorder="1" applyAlignment="1" applyProtection="1">
      <alignment horizontal="center" vertical="center" wrapText="1"/>
      <protection locked="0"/>
    </xf>
    <xf numFmtId="0" fontId="33" fillId="13" borderId="1" xfId="5" applyFont="1" applyFill="1" applyBorder="1" applyAlignment="1">
      <alignment horizontal="center" vertical="center" wrapText="1"/>
    </xf>
    <xf numFmtId="0" fontId="33" fillId="13" borderId="5" xfId="5" applyFont="1" applyFill="1" applyBorder="1" applyAlignment="1">
      <alignment horizontal="center" vertical="center" wrapText="1"/>
    </xf>
    <xf numFmtId="0" fontId="33" fillId="13" borderId="13" xfId="5" applyFont="1" applyFill="1" applyBorder="1" applyAlignment="1">
      <alignment horizontal="center" vertical="center" wrapText="1"/>
    </xf>
    <xf numFmtId="0" fontId="36" fillId="16" borderId="1" xfId="5" applyFont="1" applyFill="1" applyBorder="1" applyAlignment="1">
      <alignment horizontal="center" vertical="center" wrapText="1"/>
    </xf>
    <xf numFmtId="0" fontId="36" fillId="16" borderId="13" xfId="5" applyFont="1" applyFill="1" applyBorder="1" applyAlignment="1">
      <alignment horizontal="center" vertical="center" wrapText="1"/>
    </xf>
    <xf numFmtId="0" fontId="36" fillId="16" borderId="5" xfId="5" applyFont="1" applyFill="1" applyBorder="1" applyAlignment="1">
      <alignment horizontal="center" vertical="center" wrapText="1"/>
    </xf>
    <xf numFmtId="9" fontId="36" fillId="17" borderId="1" xfId="3" applyFont="1" applyFill="1" applyBorder="1" applyAlignment="1">
      <alignment horizontal="center" vertical="center" wrapText="1"/>
    </xf>
    <xf numFmtId="9" fontId="36" fillId="17" borderId="13" xfId="3" applyFont="1" applyFill="1" applyBorder="1" applyAlignment="1">
      <alignment horizontal="center" vertical="center" wrapText="1"/>
    </xf>
    <xf numFmtId="0" fontId="59" fillId="51" borderId="64" xfId="5" applyFont="1" applyFill="1" applyBorder="1" applyAlignment="1">
      <alignment horizontal="center" vertical="center" wrapText="1"/>
    </xf>
    <xf numFmtId="0" fontId="59" fillId="51" borderId="41" xfId="5" applyFont="1" applyFill="1" applyBorder="1" applyAlignment="1">
      <alignment horizontal="center" vertical="center" wrapText="1"/>
    </xf>
    <xf numFmtId="0" fontId="59" fillId="51" borderId="44" xfId="5" applyFont="1" applyFill="1" applyBorder="1" applyAlignment="1">
      <alignment horizontal="center" vertical="center" wrapText="1"/>
    </xf>
    <xf numFmtId="0" fontId="36" fillId="15" borderId="14" xfId="5" applyFont="1" applyFill="1" applyBorder="1" applyAlignment="1">
      <alignment horizontal="center" vertical="center" wrapText="1"/>
    </xf>
    <xf numFmtId="0" fontId="36" fillId="15" borderId="15" xfId="5" applyFont="1" applyFill="1" applyBorder="1" applyAlignment="1">
      <alignment horizontal="center" vertical="center" wrapText="1"/>
    </xf>
    <xf numFmtId="0" fontId="36" fillId="15" borderId="7" xfId="5" applyFont="1" applyFill="1" applyBorder="1" applyAlignment="1">
      <alignment horizontal="center" vertical="center" wrapText="1"/>
    </xf>
    <xf numFmtId="0" fontId="36" fillId="15" borderId="2" xfId="5" applyFont="1" applyFill="1" applyBorder="1" applyAlignment="1">
      <alignment horizontal="center" vertical="center" wrapText="1"/>
    </xf>
    <xf numFmtId="0" fontId="36" fillId="15" borderId="3" xfId="5" applyFont="1" applyFill="1" applyBorder="1" applyAlignment="1">
      <alignment horizontal="center" vertical="center" wrapText="1"/>
    </xf>
    <xf numFmtId="0" fontId="36" fillId="15" borderId="4" xfId="5" applyFont="1" applyFill="1" applyBorder="1" applyAlignment="1">
      <alignment horizontal="center" vertical="center" wrapText="1"/>
    </xf>
    <xf numFmtId="173" fontId="36" fillId="16" borderId="1" xfId="3" applyNumberFormat="1" applyFont="1" applyFill="1" applyBorder="1" applyAlignment="1">
      <alignment horizontal="center" vertical="center" wrapText="1"/>
    </xf>
    <xf numFmtId="173" fontId="36" fillId="16" borderId="13" xfId="3" applyNumberFormat="1" applyFont="1" applyFill="1" applyBorder="1" applyAlignment="1">
      <alignment horizontal="center" vertical="center" wrapText="1"/>
    </xf>
    <xf numFmtId="0" fontId="36" fillId="17" borderId="14" xfId="5" applyFont="1" applyFill="1" applyBorder="1" applyAlignment="1">
      <alignment horizontal="center" vertical="center" wrapText="1"/>
    </xf>
    <xf numFmtId="0" fontId="36" fillId="17" borderId="15" xfId="5" applyFont="1" applyFill="1" applyBorder="1" applyAlignment="1">
      <alignment horizontal="center" vertical="center" wrapText="1"/>
    </xf>
    <xf numFmtId="0" fontId="36" fillId="17" borderId="7" xfId="5" applyFont="1" applyFill="1" applyBorder="1" applyAlignment="1">
      <alignment horizontal="center" vertical="center" wrapText="1"/>
    </xf>
    <xf numFmtId="0" fontId="36" fillId="18" borderId="1" xfId="5" applyFont="1" applyFill="1" applyBorder="1" applyAlignment="1">
      <alignment horizontal="center" vertical="center" wrapText="1"/>
    </xf>
    <xf numFmtId="0" fontId="36" fillId="18" borderId="13" xfId="5" applyFont="1" applyFill="1" applyBorder="1" applyAlignment="1">
      <alignment horizontal="center" vertical="center" wrapText="1"/>
    </xf>
    <xf numFmtId="0" fontId="30" fillId="0" borderId="3" xfId="5" applyFont="1" applyBorder="1" applyAlignment="1">
      <alignment horizontal="left" vertical="center" wrapText="1"/>
    </xf>
    <xf numFmtId="0" fontId="38" fillId="11" borderId="11" xfId="5" applyFont="1" applyFill="1" applyBorder="1" applyAlignment="1">
      <alignment horizontal="center" vertical="center"/>
    </xf>
    <xf numFmtId="0" fontId="38" fillId="13" borderId="2" xfId="5" applyFont="1" applyFill="1" applyBorder="1" applyAlignment="1">
      <alignment horizontal="center" vertical="center" wrapText="1"/>
    </xf>
    <xf numFmtId="0" fontId="38" fillId="13" borderId="46" xfId="5" applyFont="1" applyFill="1" applyBorder="1" applyAlignment="1">
      <alignment horizontal="center" vertical="center" wrapText="1"/>
    </xf>
    <xf numFmtId="0" fontId="38" fillId="13" borderId="14" xfId="5" applyFont="1" applyFill="1" applyBorder="1" applyAlignment="1">
      <alignment horizontal="center" vertical="center" wrapText="1"/>
    </xf>
    <xf numFmtId="0" fontId="38" fillId="13" borderId="7" xfId="5" applyFont="1" applyFill="1" applyBorder="1" applyAlignment="1">
      <alignment horizontal="center" vertical="center" wrapText="1"/>
    </xf>
    <xf numFmtId="0" fontId="44" fillId="0" borderId="53" xfId="5" applyFont="1" applyBorder="1" applyAlignment="1">
      <alignment horizontal="center" vertical="center" wrapText="1"/>
    </xf>
    <xf numFmtId="0" fontId="44" fillId="0" borderId="49" xfId="5" applyFont="1" applyBorder="1" applyAlignment="1">
      <alignment horizontal="center" vertical="center" wrapText="1"/>
    </xf>
    <xf numFmtId="0" fontId="32" fillId="11" borderId="14" xfId="5" applyFill="1" applyBorder="1" applyAlignment="1">
      <alignment horizontal="center"/>
    </xf>
    <xf numFmtId="0" fontId="32" fillId="11" borderId="15" xfId="5" applyFill="1" applyBorder="1" applyAlignment="1">
      <alignment horizontal="center"/>
    </xf>
    <xf numFmtId="0" fontId="21" fillId="11" borderId="15" xfId="5" applyFont="1" applyFill="1" applyBorder="1" applyAlignment="1">
      <alignment horizontal="center"/>
    </xf>
    <xf numFmtId="0" fontId="32" fillId="11" borderId="7" xfId="5" applyFill="1" applyBorder="1" applyAlignment="1">
      <alignment horizontal="center"/>
    </xf>
    <xf numFmtId="0" fontId="42" fillId="0" borderId="2" xfId="5" applyFont="1" applyBorder="1" applyAlignment="1">
      <alignment horizontal="center"/>
    </xf>
    <xf numFmtId="0" fontId="42" fillId="0" borderId="3" xfId="5" applyFont="1" applyBorder="1" applyAlignment="1">
      <alignment horizontal="center"/>
    </xf>
    <xf numFmtId="0" fontId="32" fillId="0" borderId="3" xfId="5" applyBorder="1" applyAlignment="1">
      <alignment horizontal="center"/>
    </xf>
    <xf numFmtId="0" fontId="42" fillId="0" borderId="4" xfId="5" applyFont="1" applyBorder="1" applyAlignment="1">
      <alignment horizontal="center"/>
    </xf>
    <xf numFmtId="0" fontId="42" fillId="0" borderId="9" xfId="5" applyFont="1" applyBorder="1" applyAlignment="1">
      <alignment horizontal="center"/>
    </xf>
    <xf numFmtId="0" fontId="42" fillId="0" borderId="0" xfId="5" applyFont="1" applyAlignment="1">
      <alignment horizontal="center"/>
    </xf>
    <xf numFmtId="0" fontId="32" fillId="0" borderId="0" xfId="5" applyAlignment="1">
      <alignment horizontal="center"/>
    </xf>
    <xf numFmtId="0" fontId="42" fillId="0" borderId="6" xfId="5" applyFont="1" applyBorder="1" applyAlignment="1">
      <alignment horizontal="center"/>
    </xf>
    <xf numFmtId="0" fontId="42" fillId="0" borderId="10" xfId="5" applyFont="1" applyBorder="1" applyAlignment="1">
      <alignment horizontal="center"/>
    </xf>
    <xf numFmtId="0" fontId="42" fillId="0" borderId="11" xfId="5" applyFont="1" applyBorder="1" applyAlignment="1">
      <alignment horizontal="center"/>
    </xf>
    <xf numFmtId="0" fontId="32" fillId="0" borderId="11" xfId="5" applyBorder="1" applyAlignment="1">
      <alignment horizontal="center"/>
    </xf>
    <xf numFmtId="0" fontId="42" fillId="0" borderId="8" xfId="5" applyFont="1" applyBorder="1" applyAlignment="1">
      <alignment horizontal="center"/>
    </xf>
    <xf numFmtId="0" fontId="43" fillId="0" borderId="47" xfId="0" applyFont="1" applyBorder="1" applyAlignment="1">
      <alignment horizontal="center" vertical="center" wrapText="1"/>
    </xf>
    <xf numFmtId="0" fontId="43" fillId="0" borderId="47" xfId="0" applyFont="1" applyBorder="1" applyAlignment="1">
      <alignment horizontal="center" vertical="center"/>
    </xf>
    <xf numFmtId="0" fontId="43" fillId="0" borderId="48" xfId="0" applyFont="1" applyBorder="1" applyAlignment="1">
      <alignment horizontal="center" vertical="center"/>
    </xf>
    <xf numFmtId="49" fontId="44" fillId="0" borderId="49" xfId="5" applyNumberFormat="1" applyFont="1" applyBorder="1" applyAlignment="1">
      <alignment horizontal="center" vertical="center" wrapText="1"/>
    </xf>
    <xf numFmtId="49" fontId="44" fillId="0" borderId="52" xfId="5" applyNumberFormat="1" applyFont="1" applyBorder="1" applyAlignment="1">
      <alignment horizontal="center" vertical="center" wrapText="1"/>
    </xf>
    <xf numFmtId="49" fontId="45" fillId="0" borderId="49" xfId="5" applyNumberFormat="1" applyFont="1" applyBorder="1" applyAlignment="1">
      <alignment horizontal="center" vertical="center" wrapText="1"/>
    </xf>
    <xf numFmtId="49" fontId="44" fillId="0" borderId="50" xfId="5" applyNumberFormat="1" applyFont="1" applyBorder="1" applyAlignment="1">
      <alignment horizontal="center" vertical="center" wrapText="1"/>
    </xf>
    <xf numFmtId="49" fontId="44" fillId="0" borderId="47" xfId="5" applyNumberFormat="1" applyFont="1" applyBorder="1" applyAlignment="1">
      <alignment horizontal="center" vertical="center" wrapText="1"/>
    </xf>
    <xf numFmtId="49" fontId="44" fillId="0" borderId="48" xfId="5" applyNumberFormat="1" applyFont="1" applyBorder="1" applyAlignment="1">
      <alignment horizontal="center" vertical="center" wrapText="1"/>
    </xf>
    <xf numFmtId="49" fontId="44" fillId="9" borderId="51" xfId="5" applyNumberFormat="1" applyFont="1" applyFill="1" applyBorder="1" applyAlignment="1">
      <alignment horizontal="center" vertical="center" wrapText="1"/>
    </xf>
    <xf numFmtId="49" fontId="44" fillId="9" borderId="49" xfId="5" applyNumberFormat="1" applyFont="1" applyFill="1" applyBorder="1" applyAlignment="1">
      <alignment horizontal="center" vertical="center" wrapText="1"/>
    </xf>
    <xf numFmtId="49" fontId="44" fillId="28" borderId="49" xfId="5" applyNumberFormat="1" applyFont="1" applyFill="1" applyBorder="1" applyAlignment="1">
      <alignment horizontal="center" vertical="center" wrapText="1"/>
    </xf>
    <xf numFmtId="49" fontId="44" fillId="28" borderId="52" xfId="5" applyNumberFormat="1" applyFont="1" applyFill="1" applyBorder="1" applyAlignment="1">
      <alignment horizontal="center" vertical="center" wrapText="1"/>
    </xf>
    <xf numFmtId="49" fontId="44" fillId="0" borderId="51" xfId="5" applyNumberFormat="1" applyFont="1" applyBorder="1" applyAlignment="1">
      <alignment horizontal="center" vertical="center" wrapText="1"/>
    </xf>
    <xf numFmtId="49" fontId="44" fillId="0" borderId="53" xfId="5" applyNumberFormat="1" applyFont="1" applyBorder="1" applyAlignment="1">
      <alignment horizontal="center" vertical="center"/>
    </xf>
    <xf numFmtId="49" fontId="44" fillId="0" borderId="49" xfId="5" applyNumberFormat="1" applyFont="1" applyBorder="1" applyAlignment="1">
      <alignment horizontal="center" vertical="center"/>
    </xf>
    <xf numFmtId="0" fontId="33" fillId="11" borderId="11" xfId="5" applyFont="1" applyFill="1" applyBorder="1" applyAlignment="1">
      <alignment horizontal="center" vertical="center"/>
    </xf>
    <xf numFmtId="0" fontId="33" fillId="13" borderId="2" xfId="5" applyFont="1" applyFill="1" applyBorder="1" applyAlignment="1">
      <alignment horizontal="center" vertical="center" wrapText="1"/>
    </xf>
    <xf numFmtId="0" fontId="33" fillId="13" borderId="4" xfId="5" applyFont="1" applyFill="1" applyBorder="1" applyAlignment="1">
      <alignment horizontal="center" vertical="center" wrapText="1"/>
    </xf>
    <xf numFmtId="49" fontId="82" fillId="3" borderId="53" xfId="5" applyNumberFormat="1" applyFont="1" applyFill="1" applyBorder="1" applyAlignment="1">
      <alignment horizontal="center" vertical="center"/>
    </xf>
    <xf numFmtId="49" fontId="82" fillId="3" borderId="49" xfId="5" applyNumberFormat="1" applyFont="1" applyFill="1" applyBorder="1" applyAlignment="1">
      <alignment horizontal="center" vertical="center"/>
    </xf>
    <xf numFmtId="0" fontId="32" fillId="0" borderId="2" xfId="5" applyBorder="1" applyAlignment="1">
      <alignment horizontal="center" vertical="center"/>
    </xf>
    <xf numFmtId="0" fontId="32" fillId="0" borderId="3" xfId="5" applyBorder="1" applyAlignment="1">
      <alignment horizontal="center" vertical="center"/>
    </xf>
    <xf numFmtId="0" fontId="32" fillId="0" borderId="9" xfId="5" applyBorder="1" applyAlignment="1">
      <alignment horizontal="center" vertical="center"/>
    </xf>
    <xf numFmtId="0" fontId="32" fillId="0" borderId="0" xfId="5" applyAlignment="1">
      <alignment horizontal="center" vertical="center"/>
    </xf>
    <xf numFmtId="0" fontId="32" fillId="0" borderId="10" xfId="5" applyBorder="1" applyAlignment="1">
      <alignment horizontal="center" vertical="center"/>
    </xf>
    <xf numFmtId="0" fontId="32" fillId="0" borderId="11" xfId="5" applyBorder="1" applyAlignment="1">
      <alignment horizontal="center" vertical="center"/>
    </xf>
    <xf numFmtId="49" fontId="44" fillId="0" borderId="87" xfId="5" applyNumberFormat="1" applyFont="1" applyBorder="1" applyAlignment="1">
      <alignment horizontal="center" vertical="center" wrapText="1"/>
    </xf>
    <xf numFmtId="49" fontId="44" fillId="0" borderId="3" xfId="5" applyNumberFormat="1" applyFont="1" applyBorder="1" applyAlignment="1">
      <alignment horizontal="center" vertical="center" wrapText="1"/>
    </xf>
    <xf numFmtId="49" fontId="44" fillId="0" borderId="88" xfId="5" applyNumberFormat="1" applyFont="1" applyBorder="1" applyAlignment="1">
      <alignment horizontal="center" vertical="center" wrapText="1"/>
    </xf>
    <xf numFmtId="49" fontId="44" fillId="62" borderId="49" xfId="5" applyNumberFormat="1" applyFont="1" applyFill="1" applyBorder="1" applyAlignment="1">
      <alignment horizontal="center" vertical="center" wrapText="1"/>
    </xf>
    <xf numFmtId="49" fontId="44" fillId="62" borderId="52" xfId="5" applyNumberFormat="1" applyFont="1" applyFill="1" applyBorder="1" applyAlignment="1">
      <alignment horizontal="center" vertical="center" wrapText="1"/>
    </xf>
    <xf numFmtId="0" fontId="43" fillId="0" borderId="47" xfId="11" applyFont="1" applyBorder="1" applyAlignment="1">
      <alignment horizontal="center" vertical="center" wrapText="1"/>
    </xf>
    <xf numFmtId="0" fontId="43" fillId="0" borderId="47" xfId="11" applyFont="1" applyBorder="1" applyAlignment="1">
      <alignment horizontal="center" vertical="center"/>
    </xf>
    <xf numFmtId="0" fontId="43" fillId="0" borderId="48" xfId="11" applyFont="1" applyBorder="1" applyAlignment="1">
      <alignment horizontal="center" vertical="center"/>
    </xf>
    <xf numFmtId="49" fontId="44" fillId="3" borderId="51" xfId="5" applyNumberFormat="1" applyFont="1" applyFill="1" applyBorder="1" applyAlignment="1">
      <alignment horizontal="center" vertical="center" wrapText="1"/>
    </xf>
    <xf numFmtId="49" fontId="44" fillId="3" borderId="49" xfId="5" applyNumberFormat="1" applyFont="1" applyFill="1" applyBorder="1" applyAlignment="1">
      <alignment horizontal="center" vertical="center" wrapText="1"/>
    </xf>
    <xf numFmtId="49" fontId="47" fillId="21" borderId="57" xfId="0" applyNumberFormat="1" applyFont="1" applyFill="1" applyBorder="1" applyAlignment="1">
      <alignment horizontal="center" vertical="center" wrapText="1"/>
    </xf>
    <xf numFmtId="49" fontId="47" fillId="21" borderId="59" xfId="0" applyNumberFormat="1" applyFont="1" applyFill="1" applyBorder="1" applyAlignment="1">
      <alignment horizontal="center" vertical="center" wrapText="1"/>
    </xf>
    <xf numFmtId="49" fontId="47" fillId="21" borderId="57" xfId="0" quotePrefix="1" applyNumberFormat="1" applyFont="1" applyFill="1" applyBorder="1" applyAlignment="1">
      <alignment horizontal="center" vertical="center" wrapText="1"/>
    </xf>
    <xf numFmtId="49" fontId="47" fillId="21" borderId="59" xfId="0" quotePrefix="1" applyNumberFormat="1" applyFont="1" applyFill="1" applyBorder="1" applyAlignment="1">
      <alignment horizontal="center" vertical="center" wrapText="1"/>
    </xf>
    <xf numFmtId="49" fontId="47" fillId="0" borderId="54" xfId="0" quotePrefix="1" applyNumberFormat="1" applyFont="1" applyBorder="1" applyAlignment="1">
      <alignment horizontal="center" vertical="center" wrapText="1"/>
    </xf>
    <xf numFmtId="0" fontId="48" fillId="0" borderId="55" xfId="0" applyFont="1" applyBorder="1"/>
    <xf numFmtId="0" fontId="48" fillId="0" borderId="56" xfId="0" applyFont="1" applyBorder="1"/>
    <xf numFmtId="0" fontId="33" fillId="13" borderId="2" xfId="5" quotePrefix="1" applyFont="1" applyFill="1" applyBorder="1" applyAlignment="1">
      <alignment horizontal="center" vertical="center" wrapText="1"/>
    </xf>
    <xf numFmtId="49" fontId="47" fillId="61" borderId="54" xfId="0" quotePrefix="1" applyNumberFormat="1" applyFont="1" applyFill="1" applyBorder="1" applyAlignment="1">
      <alignment horizontal="center" vertical="center" wrapText="1"/>
    </xf>
    <xf numFmtId="49" fontId="47" fillId="61" borderId="55" xfId="0" quotePrefix="1" applyNumberFormat="1" applyFont="1" applyFill="1" applyBorder="1" applyAlignment="1">
      <alignment horizontal="center" vertical="center" wrapText="1"/>
    </xf>
    <xf numFmtId="49" fontId="47" fillId="61" borderId="56" xfId="0" quotePrefix="1" applyNumberFormat="1" applyFont="1" applyFill="1" applyBorder="1" applyAlignment="1">
      <alignment horizontal="center" vertical="center" wrapText="1"/>
    </xf>
    <xf numFmtId="0" fontId="70" fillId="61" borderId="54" xfId="0" applyFont="1" applyFill="1" applyBorder="1" applyAlignment="1">
      <alignment horizontal="center" vertical="center" wrapText="1"/>
    </xf>
    <xf numFmtId="0" fontId="70" fillId="61" borderId="55" xfId="0" applyFont="1" applyFill="1" applyBorder="1" applyAlignment="1">
      <alignment horizontal="center" vertical="center" wrapText="1"/>
    </xf>
    <xf numFmtId="0" fontId="70" fillId="61" borderId="56" xfId="0" applyFont="1" applyFill="1" applyBorder="1" applyAlignment="1">
      <alignment horizontal="center" vertical="center" wrapText="1"/>
    </xf>
    <xf numFmtId="49" fontId="47" fillId="0" borderId="55" xfId="0" quotePrefix="1" applyNumberFormat="1" applyFont="1" applyBorder="1" applyAlignment="1">
      <alignment horizontal="center" vertical="center" wrapText="1"/>
    </xf>
    <xf numFmtId="49" fontId="47" fillId="0" borderId="56" xfId="0" quotePrefix="1" applyNumberFormat="1" applyFont="1" applyBorder="1" applyAlignment="1">
      <alignment horizontal="center" vertical="center" wrapText="1"/>
    </xf>
    <xf numFmtId="0" fontId="70" fillId="61" borderId="82" xfId="0" applyFont="1" applyFill="1" applyBorder="1" applyAlignment="1">
      <alignment horizontal="center" vertical="center" wrapText="1"/>
    </xf>
    <xf numFmtId="0" fontId="70" fillId="61" borderId="83" xfId="0" applyFont="1" applyFill="1" applyBorder="1" applyAlignment="1">
      <alignment horizontal="center" vertical="center" wrapText="1"/>
    </xf>
    <xf numFmtId="0" fontId="70" fillId="61" borderId="84" xfId="0" applyFont="1" applyFill="1" applyBorder="1" applyAlignment="1">
      <alignment horizontal="center" vertical="center" wrapText="1"/>
    </xf>
    <xf numFmtId="0" fontId="70" fillId="61" borderId="79" xfId="0" applyFont="1" applyFill="1" applyBorder="1" applyAlignment="1">
      <alignment horizontal="center" vertical="center" wrapText="1"/>
    </xf>
    <xf numFmtId="0" fontId="70" fillId="61" borderId="80" xfId="0" applyFont="1" applyFill="1" applyBorder="1" applyAlignment="1">
      <alignment horizontal="center" vertical="center" wrapText="1"/>
    </xf>
    <xf numFmtId="0" fontId="70" fillId="61" borderId="81" xfId="0" applyFont="1" applyFill="1" applyBorder="1" applyAlignment="1">
      <alignment horizontal="center" vertical="center" wrapText="1"/>
    </xf>
    <xf numFmtId="0" fontId="70" fillId="61" borderId="85" xfId="0" applyFont="1" applyFill="1" applyBorder="1" applyAlignment="1">
      <alignment horizontal="center" vertical="center" wrapText="1"/>
    </xf>
    <xf numFmtId="49" fontId="47" fillId="61" borderId="86" xfId="0" quotePrefix="1" applyNumberFormat="1"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4" fillId="0" borderId="0" xfId="0" applyFont="1" applyAlignment="1">
      <alignment horizontal="right" vertical="top" wrapText="1"/>
    </xf>
    <xf numFmtId="0" fontId="14" fillId="0" borderId="18" xfId="0" applyFont="1" applyBorder="1" applyAlignment="1" applyProtection="1">
      <alignment horizontal="center" vertical="top" wrapText="1"/>
      <protection locked="0"/>
    </xf>
    <xf numFmtId="0" fontId="14" fillId="0" borderId="19" xfId="0" applyFont="1" applyBorder="1" applyAlignment="1" applyProtection="1">
      <alignment horizontal="center" vertical="top" wrapText="1"/>
      <protection locked="0"/>
    </xf>
    <xf numFmtId="0" fontId="14" fillId="0" borderId="20" xfId="0" applyFont="1" applyBorder="1" applyAlignment="1" applyProtection="1">
      <alignment horizontal="center"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31" fillId="12" borderId="7" xfId="5" applyFont="1" applyFill="1" applyBorder="1" applyAlignment="1">
      <alignment horizontal="left" vertical="center" wrapText="1"/>
    </xf>
    <xf numFmtId="0" fontId="0" fillId="0" borderId="16" xfId="0" applyBorder="1" applyAlignment="1" applyProtection="1">
      <alignment horizontal="left" vertical="top" wrapText="1"/>
      <protection locked="0"/>
    </xf>
    <xf numFmtId="0" fontId="0" fillId="0" borderId="16" xfId="0" applyBorder="1" applyAlignment="1" applyProtection="1">
      <alignment horizontal="left" vertical="top"/>
      <protection hidden="1"/>
    </xf>
    <xf numFmtId="0" fontId="14" fillId="3" borderId="16" xfId="0" applyFont="1" applyFill="1" applyBorder="1" applyAlignment="1" applyProtection="1">
      <alignment horizontal="center" vertical="top" wrapText="1"/>
      <protection locked="0"/>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14" fillId="0" borderId="16" xfId="0" applyFont="1" applyBorder="1" applyAlignment="1" applyProtection="1">
      <alignment horizontal="center" vertical="top"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4" fillId="0" borderId="29" xfId="0" applyFont="1" applyBorder="1" applyAlignment="1">
      <alignment horizontal="left" vertical="top" wrapText="1"/>
    </xf>
    <xf numFmtId="0" fontId="14" fillId="0" borderId="16" xfId="0" applyFont="1" applyBorder="1"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30" fillId="11" borderId="15" xfId="0" applyFont="1" applyFill="1" applyBorder="1" applyAlignment="1">
      <alignment horizontal="center" vertical="center"/>
    </xf>
    <xf numFmtId="0" fontId="30" fillId="11" borderId="7" xfId="0" applyFont="1" applyFill="1" applyBorder="1" applyAlignment="1">
      <alignment horizontal="center" vertical="center"/>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1" xfId="0" applyFont="1" applyBorder="1" applyAlignment="1">
      <alignment horizontal="center" vertical="top"/>
    </xf>
    <xf numFmtId="0" fontId="8" fillId="0" borderId="13" xfId="0" applyFont="1" applyBorder="1" applyAlignment="1">
      <alignment horizontal="center" vertical="top"/>
    </xf>
    <xf numFmtId="0" fontId="0" fillId="0" borderId="16" xfId="0" applyBorder="1" applyAlignment="1" applyProtection="1">
      <alignment horizontal="center" vertical="top" wrapText="1"/>
      <protection locked="0"/>
    </xf>
    <xf numFmtId="0" fontId="14" fillId="0" borderId="25" xfId="0" applyFont="1" applyBorder="1" applyAlignment="1" applyProtection="1">
      <alignment horizontal="center" vertical="top" wrapText="1"/>
      <protection locked="0"/>
    </xf>
    <xf numFmtId="0" fontId="14" fillId="3" borderId="16" xfId="0" applyFont="1" applyFill="1" applyBorder="1" applyAlignment="1" applyProtection="1">
      <alignment horizontal="left" vertical="top" wrapText="1"/>
      <protection locked="0"/>
    </xf>
    <xf numFmtId="0" fontId="4" fillId="0" borderId="29" xfId="0" applyFont="1" applyBorder="1" applyAlignment="1">
      <alignment vertical="top" wrapText="1"/>
    </xf>
    <xf numFmtId="0" fontId="0" fillId="0" borderId="16" xfId="0" applyBorder="1" applyAlignment="1" applyProtection="1">
      <alignment horizontal="center" vertical="top"/>
      <protection hidden="1"/>
    </xf>
    <xf numFmtId="0" fontId="8" fillId="0" borderId="16" xfId="0" applyFont="1" applyBorder="1" applyAlignment="1">
      <alignment horizontal="center" vertical="top" wrapText="1"/>
    </xf>
    <xf numFmtId="0" fontId="0" fillId="0" borderId="27" xfId="0" applyBorder="1" applyAlignment="1" applyProtection="1">
      <alignment horizontal="center" vertical="top"/>
      <protection hidden="1"/>
    </xf>
    <xf numFmtId="0" fontId="0" fillId="0" borderId="0" xfId="0" applyAlignment="1" applyProtection="1">
      <alignment horizontal="center" vertical="top"/>
      <protection hidden="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8" fillId="0" borderId="1" xfId="0" applyFont="1" applyBorder="1" applyAlignment="1">
      <alignment vertical="top" wrapText="1"/>
    </xf>
    <xf numFmtId="0" fontId="8" fillId="0" borderId="13" xfId="0" applyFont="1" applyBorder="1" applyAlignment="1">
      <alignmen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7"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8" fillId="0" borderId="5" xfId="0" applyFont="1" applyBorder="1" applyAlignment="1">
      <alignment vertical="top"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5"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0" borderId="14" xfId="0" applyFont="1" applyBorder="1" applyAlignment="1">
      <alignment horizontal="left" vertical="center"/>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7" xfId="0" applyFont="1" applyBorder="1" applyAlignment="1">
      <alignmen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6" xfId="0" applyFont="1" applyBorder="1" applyAlignment="1">
      <alignment horizontal="center" vertical="top" wrapText="1"/>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1" fontId="37" fillId="0" borderId="40" xfId="5" applyNumberFormat="1" applyFont="1" applyFill="1" applyBorder="1" applyAlignment="1">
      <alignment horizontal="center" vertical="center" wrapText="1"/>
    </xf>
    <xf numFmtId="166" fontId="37" fillId="0" borderId="22" xfId="4" applyFont="1" applyFill="1" applyBorder="1" applyAlignment="1">
      <alignment vertical="center" wrapText="1"/>
    </xf>
  </cellXfs>
  <cellStyles count="14">
    <cellStyle name="Bueno" xfId="1" builtinId="26"/>
    <cellStyle name="Hipervínculo" xfId="2" builtinId="8"/>
    <cellStyle name="Millares" xfId="4" builtinId="3"/>
    <cellStyle name="Millares [0]" xfId="13" builtinId="6"/>
    <cellStyle name="Millares [0] 2" xfId="6"/>
    <cellStyle name="Millares [0] 2 2" xfId="9"/>
    <cellStyle name="Millares 2" xfId="7"/>
    <cellStyle name="Millares 2 2" xfId="10"/>
    <cellStyle name="Millares 3" xfId="8"/>
    <cellStyle name="Normal" xfId="0" builtinId="0"/>
    <cellStyle name="Normal 2" xfId="5"/>
    <cellStyle name="Normal 3" xfId="11"/>
    <cellStyle name="Porcentaje" xfId="3" builtinId="5"/>
    <cellStyle name="Porcentaje 2" xfId="12"/>
  </cellStyles>
  <dxfs count="1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s>
  <tableStyles count="0" defaultTableStyle="TableStyleMedium2" defaultPivotStyle="PivotStyleLight16"/>
  <colors>
    <mruColors>
      <color rgb="FF66FF66"/>
      <color rgb="FFCCFFCC"/>
      <color rgb="FF99FF99"/>
      <color rgb="FFE1FFE1"/>
      <color rgb="FFA8D08D"/>
      <color rgb="FFB4D7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7.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7.pn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a:extLst>
            <a:ext uri="{FF2B5EF4-FFF2-40B4-BE49-F238E27FC236}">
              <a16:creationId xmlns:a16="http://schemas.microsoft.com/office/drawing/2014/main" id="{00000000-0008-0000-0000-00000A000000}"/>
            </a:ext>
          </a:extLst>
        </xdr:cNvPr>
        <xdr:cNvGrpSpPr>
          <a:grpSpLocks/>
        </xdr:cNvGrpSpPr>
      </xdr:nvGrpSpPr>
      <xdr:grpSpPr bwMode="auto">
        <a:xfrm>
          <a:off x="2" y="0"/>
          <a:ext cx="10048873" cy="1657350"/>
          <a:chOff x="57151" y="47625"/>
          <a:chExt cx="6181724" cy="1581150"/>
        </a:xfrm>
      </xdr:grpSpPr>
      <xdr:pic>
        <xdr:nvPicPr>
          <xdr:cNvPr id="11" name="1 Imagen" descr="ESCUDO-transp-lema-blanco.png">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00000000-0008-0000-0000-00000C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0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30481</xdr:colOff>
      <xdr:row>75</xdr:row>
      <xdr:rowOff>144780</xdr:rowOff>
    </xdr:from>
    <xdr:to>
      <xdr:col>2</xdr:col>
      <xdr:colOff>2372310</xdr:colOff>
      <xdr:row>75</xdr:row>
      <xdr:rowOff>240800</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86</xdr:row>
      <xdr:rowOff>0</xdr:rowOff>
    </xdr:from>
    <xdr:to>
      <xdr:col>2</xdr:col>
      <xdr:colOff>1718424</xdr:colOff>
      <xdr:row>87</xdr:row>
      <xdr:rowOff>3826</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92</xdr:row>
      <xdr:rowOff>15240</xdr:rowOff>
    </xdr:from>
    <xdr:to>
      <xdr:col>2</xdr:col>
      <xdr:colOff>1654392</xdr:colOff>
      <xdr:row>93</xdr:row>
      <xdr:rowOff>19066</xdr:rowOff>
    </xdr:to>
    <xdr:pic>
      <xdr:nvPicPr>
        <xdr:cNvPr id="4" name="Imagen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98</xdr:row>
      <xdr:rowOff>144780</xdr:rowOff>
    </xdr:from>
    <xdr:to>
      <xdr:col>2</xdr:col>
      <xdr:colOff>1655918</xdr:colOff>
      <xdr:row>99</xdr:row>
      <xdr:rowOff>148606</xdr:rowOff>
    </xdr:to>
    <xdr:pic>
      <xdr:nvPicPr>
        <xdr:cNvPr id="5" name="Imagen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105</xdr:row>
      <xdr:rowOff>53341</xdr:rowOff>
    </xdr:from>
    <xdr:to>
      <xdr:col>2</xdr:col>
      <xdr:colOff>2206150</xdr:colOff>
      <xdr:row>106</xdr:row>
      <xdr:rowOff>41164</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1200-000007000000}"/>
            </a:ext>
          </a:extLst>
        </xdr:cNvPr>
        <xdr:cNvGrpSpPr>
          <a:grpSpLocks/>
        </xdr:cNvGrpSpPr>
      </xdr:nvGrpSpPr>
      <xdr:grpSpPr bwMode="auto">
        <a:xfrm>
          <a:off x="0" y="0"/>
          <a:ext cx="7104878" cy="1277615"/>
          <a:chOff x="57150" y="47625"/>
          <a:chExt cx="6316603" cy="1200288"/>
        </a:xfrm>
      </xdr:grpSpPr>
      <xdr:pic>
        <xdr:nvPicPr>
          <xdr:cNvPr id="8" name="1 Imagen" descr="ESCUDO-transp-lema-blanco.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12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518160</xdr:colOff>
      <xdr:row>72</xdr:row>
      <xdr:rowOff>0</xdr:rowOff>
    </xdr:from>
    <xdr:to>
      <xdr:col>2</xdr:col>
      <xdr:colOff>1920362</xdr:colOff>
      <xdr:row>73</xdr:row>
      <xdr:rowOff>83843</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3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3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640080</xdr:colOff>
      <xdr:row>74</xdr:row>
      <xdr:rowOff>38100</xdr:rowOff>
    </xdr:from>
    <xdr:to>
      <xdr:col>2</xdr:col>
      <xdr:colOff>1680300</xdr:colOff>
      <xdr:row>75</xdr:row>
      <xdr:rowOff>68598</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81</xdr:row>
      <xdr:rowOff>419100</xdr:rowOff>
    </xdr:from>
    <xdr:to>
      <xdr:col>2</xdr:col>
      <xdr:colOff>1752696</xdr:colOff>
      <xdr:row>83</xdr:row>
      <xdr:rowOff>152432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548641</xdr:colOff>
      <xdr:row>134</xdr:row>
      <xdr:rowOff>15240</xdr:rowOff>
    </xdr:from>
    <xdr:to>
      <xdr:col>2</xdr:col>
      <xdr:colOff>2088014</xdr:colOff>
      <xdr:row>135</xdr:row>
      <xdr:rowOff>137186</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5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5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556261</xdr:colOff>
      <xdr:row>69</xdr:row>
      <xdr:rowOff>30480</xdr:rowOff>
    </xdr:from>
    <xdr:to>
      <xdr:col>2</xdr:col>
      <xdr:colOff>2187082</xdr:colOff>
      <xdr:row>70</xdr:row>
      <xdr:rowOff>129564</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6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6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116638</xdr:colOff>
      <xdr:row>1</xdr:row>
      <xdr:rowOff>4375</xdr:rowOff>
    </xdr:to>
    <xdr:grpSp>
      <xdr:nvGrpSpPr>
        <xdr:cNvPr id="2" name="1 Grupo">
          <a:extLst>
            <a:ext uri="{FF2B5EF4-FFF2-40B4-BE49-F238E27FC236}">
              <a16:creationId xmlns:a16="http://schemas.microsoft.com/office/drawing/2014/main" id="{00000000-0008-0000-1700-000002000000}"/>
            </a:ext>
          </a:extLst>
        </xdr:cNvPr>
        <xdr:cNvGrpSpPr>
          <a:grpSpLocks/>
        </xdr:cNvGrpSpPr>
      </xdr:nvGrpSpPr>
      <xdr:grpSpPr bwMode="auto">
        <a:xfrm>
          <a:off x="0" y="0"/>
          <a:ext cx="5277633" cy="1277615"/>
          <a:chOff x="57150" y="47625"/>
          <a:chExt cx="6316603" cy="1200288"/>
        </a:xfrm>
      </xdr:grpSpPr>
      <xdr:pic>
        <xdr:nvPicPr>
          <xdr:cNvPr id="3" name="1 Imagen" descr="ESCUDO-transp-lema-blanco.png">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1700-000004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647701</xdr:colOff>
      <xdr:row>73</xdr:row>
      <xdr:rowOff>68580</xdr:rowOff>
    </xdr:from>
    <xdr:to>
      <xdr:col>2</xdr:col>
      <xdr:colOff>1905110</xdr:colOff>
      <xdr:row>75</xdr:row>
      <xdr:rowOff>26</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80</xdr:row>
      <xdr:rowOff>53340</xdr:rowOff>
    </xdr:from>
    <xdr:to>
      <xdr:col>2</xdr:col>
      <xdr:colOff>1775552</xdr:colOff>
      <xdr:row>82</xdr:row>
      <xdr:rowOff>60992</xdr:rowOff>
    </xdr:to>
    <xdr:pic>
      <xdr:nvPicPr>
        <xdr:cNvPr id="3" name="Imagen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8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8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00000000-0008-0000-0300-000003000000}"/>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0</xdr:colOff>
      <xdr:row>0</xdr:row>
      <xdr:rowOff>0</xdr:rowOff>
    </xdr:from>
    <xdr:to>
      <xdr:col>0</xdr:col>
      <xdr:colOff>1209675</xdr:colOff>
      <xdr:row>0</xdr:row>
      <xdr:rowOff>1581150</xdr:rowOff>
    </xdr:to>
    <xdr:pic>
      <xdr:nvPicPr>
        <xdr:cNvPr id="4" name="1 Imagen" descr="ESCUDO-transp-lema-blanco.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762000" cy="19050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5" name="3 CuadroTexto">
          <a:extLst>
            <a:ext uri="{FF2B5EF4-FFF2-40B4-BE49-F238E27FC236}">
              <a16:creationId xmlns:a16="http://schemas.microsoft.com/office/drawing/2014/main" id="{00000000-0008-0000-0300-000005000000}"/>
            </a:ext>
          </a:extLst>
        </xdr:cNvPr>
        <xdr:cNvSpPr txBox="1"/>
      </xdr:nvSpPr>
      <xdr:spPr bwMode="auto">
        <a:xfrm>
          <a:off x="762000" y="190500"/>
          <a:ext cx="762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88</xdr:row>
      <xdr:rowOff>106680</xdr:rowOff>
    </xdr:from>
    <xdr:to>
      <xdr:col>2</xdr:col>
      <xdr:colOff>1981306</xdr:colOff>
      <xdr:row>89</xdr:row>
      <xdr:rowOff>160040</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94</xdr:row>
      <xdr:rowOff>419100</xdr:rowOff>
    </xdr:from>
    <xdr:to>
      <xdr:col>2</xdr:col>
      <xdr:colOff>1790796</xdr:colOff>
      <xdr:row>96</xdr:row>
      <xdr:rowOff>152432</xdr:rowOff>
    </xdr:to>
    <xdr:pic>
      <xdr:nvPicPr>
        <xdr:cNvPr id="3" name="Imagen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900-000004000000}"/>
            </a:ext>
          </a:extLst>
        </xdr:cNvPr>
        <xdr:cNvGrpSpPr>
          <a:grpSpLocks/>
        </xdr:cNvGrpSpPr>
      </xdr:nvGrpSpPr>
      <xdr:grpSpPr bwMode="auto">
        <a:xfrm>
          <a:off x="0" y="0"/>
          <a:ext cx="5141561"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9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426720</xdr:colOff>
      <xdr:row>77</xdr:row>
      <xdr:rowOff>53340</xdr:rowOff>
    </xdr:from>
    <xdr:to>
      <xdr:col>2</xdr:col>
      <xdr:colOff>2156610</xdr:colOff>
      <xdr:row>78</xdr:row>
      <xdr:rowOff>175286</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86</xdr:row>
      <xdr:rowOff>0</xdr:rowOff>
    </xdr:from>
    <xdr:to>
      <xdr:col>2</xdr:col>
      <xdr:colOff>1813656</xdr:colOff>
      <xdr:row>88</xdr:row>
      <xdr:rowOff>7652</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518161</xdr:colOff>
      <xdr:row>87</xdr:row>
      <xdr:rowOff>449580</xdr:rowOff>
    </xdr:from>
    <xdr:to>
      <xdr:col>2</xdr:col>
      <xdr:colOff>2377602</xdr:colOff>
      <xdr:row>90</xdr:row>
      <xdr:rowOff>32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C00-000003000000}"/>
            </a:ext>
          </a:extLst>
        </xdr:cNvPr>
        <xdr:cNvGrpSpPr>
          <a:grpSpLocks/>
        </xdr:cNvGrpSpPr>
      </xdr:nvGrpSpPr>
      <xdr:grpSpPr bwMode="auto">
        <a:xfrm>
          <a:off x="0" y="0"/>
          <a:ext cx="5472021"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868681</xdr:colOff>
      <xdr:row>100</xdr:row>
      <xdr:rowOff>15240</xdr:rowOff>
    </xdr:from>
    <xdr:to>
      <xdr:col>2</xdr:col>
      <xdr:colOff>1806022</xdr:colOff>
      <xdr:row>101</xdr:row>
      <xdr:rowOff>129566</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107</xdr:row>
      <xdr:rowOff>68580</xdr:rowOff>
    </xdr:from>
    <xdr:to>
      <xdr:col>3</xdr:col>
      <xdr:colOff>1021334</xdr:colOff>
      <xdr:row>109</xdr:row>
      <xdr:rowOff>26</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7095158"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118</xdr:row>
      <xdr:rowOff>144780</xdr:rowOff>
    </xdr:from>
    <xdr:to>
      <xdr:col>3</xdr:col>
      <xdr:colOff>1112808</xdr:colOff>
      <xdr:row>118</xdr:row>
      <xdr:rowOff>281952</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131</xdr:row>
      <xdr:rowOff>7620</xdr:rowOff>
    </xdr:from>
    <xdr:to>
      <xdr:col>3</xdr:col>
      <xdr:colOff>1089896</xdr:colOff>
      <xdr:row>131</xdr:row>
      <xdr:rowOff>251481</xdr:rowOff>
    </xdr:to>
    <xdr:pic>
      <xdr:nvPicPr>
        <xdr:cNvPr id="3" name="Imagen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65960" y="53393340"/>
          <a:ext cx="2728196" cy="243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F00-000004000000}"/>
            </a:ext>
          </a:extLst>
        </xdr:cNvPr>
        <xdr:cNvGrpSpPr>
          <a:grpSpLocks/>
        </xdr:cNvGrpSpPr>
      </xdr:nvGrpSpPr>
      <xdr:grpSpPr bwMode="auto">
        <a:xfrm>
          <a:off x="0" y="0"/>
          <a:ext cx="6337046"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F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182880</xdr:colOff>
      <xdr:row>113</xdr:row>
      <xdr:rowOff>91440</xdr:rowOff>
    </xdr:from>
    <xdr:to>
      <xdr:col>3</xdr:col>
      <xdr:colOff>998498</xdr:colOff>
      <xdr:row>113</xdr:row>
      <xdr:rowOff>228612</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126</xdr:row>
      <xdr:rowOff>0</xdr:rowOff>
    </xdr:from>
    <xdr:to>
      <xdr:col>3</xdr:col>
      <xdr:colOff>922268</xdr:colOff>
      <xdr:row>127</xdr:row>
      <xdr:rowOff>114326</xdr:rowOff>
    </xdr:to>
    <xdr:pic>
      <xdr:nvPicPr>
        <xdr:cNvPr id="3" name="Imagen 2">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000-000004000000}"/>
            </a:ext>
          </a:extLst>
        </xdr:cNvPr>
        <xdr:cNvGrpSpPr>
          <a:grpSpLocks/>
        </xdr:cNvGrpSpPr>
      </xdr:nvGrpSpPr>
      <xdr:grpSpPr bwMode="auto">
        <a:xfrm>
          <a:off x="0" y="0"/>
          <a:ext cx="5540056"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548640</xdr:colOff>
      <xdr:row>154</xdr:row>
      <xdr:rowOff>15240</xdr:rowOff>
    </xdr:from>
    <xdr:to>
      <xdr:col>2</xdr:col>
      <xdr:colOff>2232806</xdr:colOff>
      <xdr:row>156</xdr:row>
      <xdr:rowOff>22892</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161</xdr:row>
      <xdr:rowOff>53340</xdr:rowOff>
    </xdr:from>
    <xdr:to>
      <xdr:col>2</xdr:col>
      <xdr:colOff>2087998</xdr:colOff>
      <xdr:row>162</xdr:row>
      <xdr:rowOff>160045</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200-000004000000}"/>
            </a:ext>
          </a:extLst>
        </xdr:cNvPr>
        <xdr:cNvGrpSpPr>
          <a:grpSpLocks/>
        </xdr:cNvGrpSpPr>
      </xdr:nvGrpSpPr>
      <xdr:grpSpPr bwMode="auto">
        <a:xfrm>
          <a:off x="0" y="0"/>
          <a:ext cx="5277633"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2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00000000-0008-0000-0400-000003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3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3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609600</xdr:colOff>
      <xdr:row>73</xdr:row>
      <xdr:rowOff>91440</xdr:rowOff>
    </xdr:from>
    <xdr:to>
      <xdr:col>2</xdr:col>
      <xdr:colOff>2088008</xdr:colOff>
      <xdr:row>74</xdr:row>
      <xdr:rowOff>175283</xdr:rowOff>
    </xdr:to>
    <xdr:pic>
      <xdr:nvPicPr>
        <xdr:cNvPr id="2" name="Imagen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400-000003000000}"/>
            </a:ext>
          </a:extLst>
        </xdr:cNvPr>
        <xdr:cNvGrpSpPr>
          <a:grpSpLocks/>
        </xdr:cNvGrpSpPr>
      </xdr:nvGrpSpPr>
      <xdr:grpSpPr bwMode="auto">
        <a:xfrm>
          <a:off x="0" y="0"/>
          <a:ext cx="5277633"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4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500-000003000000}"/>
            </a:ext>
          </a:extLst>
        </xdr:cNvPr>
        <xdr:cNvGrpSpPr>
          <a:grpSpLocks/>
        </xdr:cNvGrpSpPr>
      </xdr:nvGrpSpPr>
      <xdr:grpSpPr bwMode="auto">
        <a:xfrm>
          <a:off x="0" y="0"/>
          <a:ext cx="5161000"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5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600-000005000000}"/>
            </a:ext>
          </a:extLst>
        </xdr:cNvPr>
        <xdr:cNvGrpSpPr>
          <a:grpSpLocks/>
        </xdr:cNvGrpSpPr>
      </xdr:nvGrpSpPr>
      <xdr:grpSpPr bwMode="auto">
        <a:xfrm>
          <a:off x="0" y="0"/>
          <a:ext cx="5287352" cy="1277615"/>
          <a:chOff x="57150" y="47625"/>
          <a:chExt cx="6316603" cy="1200288"/>
        </a:xfrm>
      </xdr:grpSpPr>
      <xdr:pic>
        <xdr:nvPicPr>
          <xdr:cNvPr id="6" name="1 Imagen" descr="ESCUDO-transp-lema-blanco.png">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6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700-000004000000}"/>
            </a:ext>
          </a:extLst>
        </xdr:cNvPr>
        <xdr:cNvGrpSpPr>
          <a:grpSpLocks/>
        </xdr:cNvGrpSpPr>
      </xdr:nvGrpSpPr>
      <xdr:grpSpPr bwMode="auto">
        <a:xfrm>
          <a:off x="0" y="0"/>
          <a:ext cx="5161000" cy="1277615"/>
          <a:chOff x="57150" y="47625"/>
          <a:chExt cx="6316603" cy="1200288"/>
        </a:xfrm>
      </xdr:grpSpPr>
      <xdr:pic>
        <xdr:nvPicPr>
          <xdr:cNvPr id="5" name="1 Imagen" descr="ESCUDO-transp-lema-blanco.png">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171450"/>
          <a:ext cx="461962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2" name="1 Imagen" descr="ESCUDO-transp-lema-blanco.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3" name="5 CuadroTexto">
          <a:extLst>
            <a:ext uri="{FF2B5EF4-FFF2-40B4-BE49-F238E27FC236}">
              <a16:creationId xmlns:a16="http://schemas.microsoft.com/office/drawing/2014/main" id="{00000000-0008-0000-0600-000003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600-000005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6" name="1 Imagen" descr="ESCUDO-transp-lema-blanco.png">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7" name="5 CuadroTexto">
          <a:extLst>
            <a:ext uri="{FF2B5EF4-FFF2-40B4-BE49-F238E27FC236}">
              <a16:creationId xmlns:a16="http://schemas.microsoft.com/office/drawing/2014/main" id="{00000000-0008-0000-0600-000007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8" name="1 Imagen" descr="ESCUDO-transp-lema-blanco.png">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9" name="5 CuadroTexto">
          <a:extLst>
            <a:ext uri="{FF2B5EF4-FFF2-40B4-BE49-F238E27FC236}">
              <a16:creationId xmlns:a16="http://schemas.microsoft.com/office/drawing/2014/main" id="{00000000-0008-0000-0600-000009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10" name="1 Imagen" descr="ESCUDO-transp-lema-blanco.png">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11" name="5 CuadroTexto">
          <a:extLst>
            <a:ext uri="{FF2B5EF4-FFF2-40B4-BE49-F238E27FC236}">
              <a16:creationId xmlns:a16="http://schemas.microsoft.com/office/drawing/2014/main" id="{00000000-0008-0000-0600-00000B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12" name="1 Imagen" descr="ESCUDO-transp-lema-blanco.png">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191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13" name="5 CuadroTexto">
          <a:extLst>
            <a:ext uri="{FF2B5EF4-FFF2-40B4-BE49-F238E27FC236}">
              <a16:creationId xmlns:a16="http://schemas.microsoft.com/office/drawing/2014/main" id="{00000000-0008-0000-0600-00000D000000}"/>
            </a:ext>
          </a:extLst>
        </xdr:cNvPr>
        <xdr:cNvSpPr txBox="1"/>
      </xdr:nvSpPr>
      <xdr:spPr bwMode="auto">
        <a:xfrm>
          <a:off x="1314450" y="381000"/>
          <a:ext cx="2412206"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900-000003000000}"/>
            </a:ext>
          </a:extLst>
        </xdr:cNvPr>
        <xdr:cNvSpPr txBox="1"/>
      </xdr:nvSpPr>
      <xdr:spPr bwMode="auto">
        <a:xfrm>
          <a:off x="1266825" y="200025"/>
          <a:ext cx="56959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C00-000002000000}"/>
            </a:ext>
          </a:extLst>
        </xdr:cNvPr>
        <xdr:cNvGrpSpPr>
          <a:grpSpLocks/>
        </xdr:cNvGrpSpPr>
      </xdr:nvGrpSpPr>
      <xdr:grpSpPr bwMode="auto">
        <a:xfrm>
          <a:off x="0" y="0"/>
          <a:ext cx="7570391" cy="1656953"/>
          <a:chOff x="57150" y="47625"/>
          <a:chExt cx="6181725" cy="1581150"/>
        </a:xfrm>
      </xdr:grpSpPr>
      <xdr:pic>
        <xdr:nvPicPr>
          <xdr:cNvPr id="3" name="1 Imagen" descr="ESCUDO-transp-lema-blanco.pn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C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133</xdr:row>
      <xdr:rowOff>167640</xdr:rowOff>
    </xdr:from>
    <xdr:to>
      <xdr:col>5</xdr:col>
      <xdr:colOff>84107</xdr:colOff>
      <xdr:row>134</xdr:row>
      <xdr:rowOff>121932</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168</xdr:row>
      <xdr:rowOff>38100</xdr:rowOff>
    </xdr:from>
    <xdr:to>
      <xdr:col>3</xdr:col>
      <xdr:colOff>1257378</xdr:colOff>
      <xdr:row>169</xdr:row>
      <xdr:rowOff>68598</xdr:rowOff>
    </xdr:to>
    <xdr:pic>
      <xdr:nvPicPr>
        <xdr:cNvPr id="3" name="Imagen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176</xdr:row>
      <xdr:rowOff>38100</xdr:rowOff>
    </xdr:from>
    <xdr:to>
      <xdr:col>3</xdr:col>
      <xdr:colOff>1691776</xdr:colOff>
      <xdr:row>176</xdr:row>
      <xdr:rowOff>335306</xdr:rowOff>
    </xdr:to>
    <xdr:pic>
      <xdr:nvPicPr>
        <xdr:cNvPr id="4" name="Imagen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68</xdr:row>
      <xdr:rowOff>53340</xdr:rowOff>
    </xdr:from>
    <xdr:to>
      <xdr:col>5</xdr:col>
      <xdr:colOff>312708</xdr:colOff>
      <xdr:row>68</xdr:row>
      <xdr:rowOff>190512</xdr:rowOff>
    </xdr:to>
    <xdr:pic>
      <xdr:nvPicPr>
        <xdr:cNvPr id="5" name="Imagen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D00-000006000000}"/>
            </a:ext>
          </a:extLst>
        </xdr:cNvPr>
        <xdr:cNvGrpSpPr>
          <a:grpSpLocks/>
        </xdr:cNvGrpSpPr>
      </xdr:nvGrpSpPr>
      <xdr:grpSpPr bwMode="auto">
        <a:xfrm>
          <a:off x="0" y="0"/>
          <a:ext cx="6580031" cy="1261675"/>
          <a:chOff x="57150" y="47625"/>
          <a:chExt cx="6316603" cy="1200288"/>
        </a:xfrm>
      </xdr:grpSpPr>
      <xdr:pic>
        <xdr:nvPicPr>
          <xdr:cNvPr id="7" name="1 Imagen" descr="ESCUDO-transp-lema-blanco.png">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D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E00-000003000000}"/>
            </a:ext>
          </a:extLst>
        </xdr:cNvPr>
        <xdr:cNvGrpSpPr>
          <a:grpSpLocks/>
        </xdr:cNvGrpSpPr>
      </xdr:nvGrpSpPr>
      <xdr:grpSpPr bwMode="auto">
        <a:xfrm>
          <a:off x="0" y="0"/>
          <a:ext cx="5355388" cy="1277615"/>
          <a:chOff x="57150" y="47625"/>
          <a:chExt cx="6316603" cy="1200288"/>
        </a:xfrm>
      </xdr:grpSpPr>
      <xdr:pic>
        <xdr:nvPicPr>
          <xdr:cNvPr id="4" name="1 Imagen" descr="ESCUDO-transp-lema-blanco.pn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E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3</xdr:col>
      <xdr:colOff>601981</xdr:colOff>
      <xdr:row>69</xdr:row>
      <xdr:rowOff>0</xdr:rowOff>
    </xdr:from>
    <xdr:to>
      <xdr:col>3</xdr:col>
      <xdr:colOff>2065148</xdr:colOff>
      <xdr:row>70</xdr:row>
      <xdr:rowOff>83843</xdr:rowOff>
    </xdr:to>
    <xdr:pic>
      <xdr:nvPicPr>
        <xdr:cNvPr id="6" name="Imagen 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2631" y="18307050"/>
          <a:ext cx="1463167" cy="274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355388" cy="1277615"/>
          <a:chOff x="57150" y="47625"/>
          <a:chExt cx="6316603" cy="1200288"/>
        </a:xfrm>
      </xdr:grpSpPr>
      <xdr:pic>
        <xdr:nvPicPr>
          <xdr:cNvPr id="8"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chivos\Descargas\9_feb_Formatos%20SINA%20-%20PAI%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202021_1702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_PAI%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202021_En%20construcc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PC\Correcciones%20IMG%20IEDI\Formatos%20SINA%20-%20PAI%202021_15022022%20CARDIQUE%20-%20202204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chivos\Documentos\MADS\2022\INFORMES%202022\MATRIZ%20CARdinal_I%20SEMESTRE%202022_CARDIQU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portes%202023%20IMG%20-%20IEDI/Reporte%202023%20de%20IMG/Formatos%20SINA%20-%20PAI%202022%2021072022%20CARDIQU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2)"/>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33">
          <cell r="D33" t="str">
            <v>SI APLICA</v>
          </cell>
          <cell r="F33" t="str">
            <v>SI SE REPORTA</v>
          </cell>
        </row>
        <row r="34">
          <cell r="D34" t="str">
            <v>NO APLICA</v>
          </cell>
          <cell r="F34" t="str">
            <v>NO SE REPORTA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3">
          <cell r="D33" t="str">
            <v>SI APLICA</v>
          </cell>
          <cell r="F33" t="str">
            <v>SI SE REPORTA</v>
          </cell>
        </row>
        <row r="34">
          <cell r="D34" t="str">
            <v>NO APLICA</v>
          </cell>
          <cell r="F34" t="str">
            <v>NO SE REPORTA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Hoja1"/>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Anexo 2 Protocolo Inf Gestión"/>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3">
          <cell r="D33" t="str">
            <v>SI APLICA</v>
          </cell>
          <cell r="F33" t="str">
            <v>SI SE REPORTA</v>
          </cell>
        </row>
        <row r="34">
          <cell r="D34" t="str">
            <v>NO APLICA</v>
          </cell>
          <cell r="F34" t="str">
            <v>NO SE REPORTA</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Informe Ingresos"/>
      <sheetName val="PROTOCOLO INGRESOS"/>
      <sheetName val="INGRESOS-IDR"/>
      <sheetName val="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3">
          <cell r="D33" t="str">
            <v>SI APLICA</v>
          </cell>
          <cell r="F33" t="str">
            <v>SI SE REPORTA</v>
          </cell>
        </row>
        <row r="34">
          <cell r="D34" t="str">
            <v>NO APLICA</v>
          </cell>
          <cell r="F34" t="str">
            <v>NO SE REPORTA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sheetName val="PROTOCOLO INGRESOS"/>
      <sheetName val="Anexo 5.2. 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C5" t="str">
            <v>Corporación Autónoma Regional del Canal del Dique – CARDIQUE</v>
          </cell>
        </row>
        <row r="6">
          <cell r="C6" t="str">
            <v>2021-II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EJ"/>
      <sheetName val="Anexo 5.1 INGRESOS"/>
      <sheetName val="EJECUCION DE INGRESOS A CORTE 3"/>
      <sheetName val="Anexo 5.2. informe Gastos"/>
      <sheetName val="Programa"/>
      <sheetName val="Productos Objetivos"/>
      <sheetName val="Actividades"/>
    </sheetNames>
    <sheetDataSet>
      <sheetData sheetId="0"/>
      <sheetData sheetId="1"/>
      <sheetData sheetId="2">
        <row r="5">
          <cell r="D5">
            <v>50000000000</v>
          </cell>
        </row>
        <row r="6">
          <cell r="D6">
            <v>1738000000</v>
          </cell>
        </row>
        <row r="7">
          <cell r="D7">
            <v>1700000000</v>
          </cell>
        </row>
        <row r="9">
          <cell r="D9">
            <v>3710000000</v>
          </cell>
        </row>
        <row r="10">
          <cell r="D10">
            <v>1200000000</v>
          </cell>
        </row>
        <row r="11">
          <cell r="D11">
            <v>300000000</v>
          </cell>
        </row>
        <row r="12">
          <cell r="D12">
            <v>1000000</v>
          </cell>
        </row>
        <row r="13">
          <cell r="D13">
            <v>2000000</v>
          </cell>
        </row>
        <row r="15">
          <cell r="D15">
            <v>172000000</v>
          </cell>
        </row>
        <row r="16">
          <cell r="D16">
            <v>332000000</v>
          </cell>
        </row>
        <row r="17">
          <cell r="D17">
            <v>1000000</v>
          </cell>
        </row>
        <row r="18">
          <cell r="D18">
            <v>77000000</v>
          </cell>
        </row>
        <row r="19">
          <cell r="D19">
            <v>1000000</v>
          </cell>
        </row>
        <row r="20">
          <cell r="D20">
            <v>0</v>
          </cell>
          <cell r="E20">
            <v>452665000</v>
          </cell>
        </row>
        <row r="22">
          <cell r="D22">
            <v>1187000000</v>
          </cell>
        </row>
        <row r="23">
          <cell r="D23">
            <v>17124180608</v>
          </cell>
        </row>
        <row r="24">
          <cell r="E24">
            <v>25182785552</v>
          </cell>
        </row>
        <row r="26">
          <cell r="D26">
            <v>2485400000</v>
          </cell>
        </row>
        <row r="27">
          <cell r="D27">
            <v>18300000</v>
          </cell>
        </row>
        <row r="28">
          <cell r="D28">
            <v>1872529196</v>
          </cell>
        </row>
        <row r="29">
          <cell r="D29">
            <v>7000000000</v>
          </cell>
        </row>
      </sheetData>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GD"/>
      <sheetName val="Hoja1"/>
      <sheetName val="Anexo2 Protocolo Inf Gestión GD"/>
      <sheetName val="Anexo 5.1 INGRESOS"/>
      <sheetName val="PROTOCOLO INGRESOS"/>
      <sheetName val="Anexo 5.2. 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C5" t="str">
            <v>Corporación Autónoma Regional del Canal del Dique – CARDIQUE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persons/person.xml><?xml version="1.0" encoding="utf-8"?>
<personList xmlns="http://schemas.microsoft.com/office/spreadsheetml/2018/threadedcomments" xmlns:x="http://schemas.openxmlformats.org/spreadsheetml/2006/main">
  <person displayName="IVAN DARIO RAMIREZ BEJARANO" id="{63659C95-0666-4436-9CF9-4045985439A2}" userId="889ac38eab08a684"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15" dT="2021-12-01T15:07:18.34" personId="{63659C95-0666-4436-9CF9-4045985439A2}" id="{9CB463AE-A55E-446D-9B44-5835674B7BFE}">
    <text>CVC-GUIA DE 2020 REVISAR - GUILLERMO MURCIA DIRECCIÓN DE BOSQUES</text>
  </threadedComment>
  <threadedComment ref="L28" dT="2021-12-01T15:17:06.39" personId="{63659C95-0666-4436-9CF9-4045985439A2}" id="{A5516378-ADDF-4E61-98DF-BD414214AE3D}">
    <text>Revisar con IMG POMCAS,  allí no se requiere dato de adopción - CVC</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CANON@CARDIQUE.GOV.CO"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gcalderon@cardique.gov.co"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cambioclimatico.minambiente.gov.co/"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8.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hpelaez@cardique.gov.c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snieto@cardique.gov.co" TargetMode="External"/><Relationship Id="rId1" Type="http://schemas.openxmlformats.org/officeDocument/2006/relationships/hyperlink" Target="https://www.minambiente.gov.co/index.php/ambientes-y-desarrollos-sostenibles/negocios-verdes-y-sostenibles"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aelles@cardique.gov.co"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R58"/>
  <sheetViews>
    <sheetView tabSelected="1" workbookViewId="0">
      <selection activeCell="B20" sqref="B20"/>
    </sheetView>
  </sheetViews>
  <sheetFormatPr baseColWidth="10" defaultColWidth="10.7109375" defaultRowHeight="15" x14ac:dyDescent="0.25"/>
  <cols>
    <col min="1" max="1" width="5.85546875" customWidth="1"/>
    <col min="2" max="2" width="44.28515625" customWidth="1"/>
    <col min="3" max="3" width="68.42578125" customWidth="1"/>
    <col min="7" max="7" width="0" hidden="1" customWidth="1"/>
    <col min="8" max="8" width="15.42578125" hidden="1" customWidth="1"/>
    <col min="9" max="9" width="11.42578125" hidden="1" customWidth="1"/>
  </cols>
  <sheetData>
    <row r="1" spans="1:18" s="387" customFormat="1" ht="130.5" customHeight="1" thickBot="1" x14ac:dyDescent="0.3">
      <c r="A1" s="409"/>
      <c r="B1" s="410"/>
      <c r="C1" s="411"/>
      <c r="D1"/>
      <c r="E1"/>
      <c r="F1"/>
      <c r="G1"/>
      <c r="H1"/>
      <c r="I1"/>
      <c r="J1"/>
      <c r="K1"/>
      <c r="L1"/>
      <c r="M1"/>
      <c r="N1"/>
      <c r="O1"/>
      <c r="P1"/>
      <c r="Q1"/>
      <c r="R1"/>
    </row>
    <row r="2" spans="1:18" s="388" customFormat="1" ht="39.75" customHeight="1" thickBot="1" x14ac:dyDescent="0.3">
      <c r="A2" s="1236" t="s">
        <v>0</v>
      </c>
      <c r="B2" s="1237"/>
      <c r="C2" s="1238"/>
      <c r="D2"/>
      <c r="E2"/>
      <c r="F2"/>
      <c r="G2"/>
      <c r="H2"/>
      <c r="I2"/>
      <c r="J2"/>
      <c r="K2"/>
      <c r="L2"/>
      <c r="M2"/>
      <c r="N2"/>
      <c r="O2"/>
      <c r="P2"/>
      <c r="Q2"/>
      <c r="R2"/>
    </row>
    <row r="4" spans="1:18" ht="15.75" thickBot="1" x14ac:dyDescent="0.3"/>
    <row r="5" spans="1:18" s="399" customFormat="1" ht="23.25" customHeight="1" x14ac:dyDescent="0.25">
      <c r="B5" s="400" t="s">
        <v>1</v>
      </c>
      <c r="C5" s="401" t="s">
        <v>6</v>
      </c>
      <c r="H5" s="399" t="s">
        <v>2</v>
      </c>
    </row>
    <row r="6" spans="1:18" s="399" customFormat="1" ht="23.25" customHeight="1" x14ac:dyDescent="0.25">
      <c r="B6" s="402" t="s">
        <v>3</v>
      </c>
      <c r="C6" s="403" t="s">
        <v>54</v>
      </c>
      <c r="H6" s="399" t="s">
        <v>4</v>
      </c>
    </row>
    <row r="7" spans="1:18" s="399" customFormat="1" ht="23.25" customHeight="1" x14ac:dyDescent="0.25">
      <c r="B7" s="402" t="s">
        <v>5</v>
      </c>
      <c r="C7" s="403" t="s">
        <v>2079</v>
      </c>
      <c r="H7" s="399" t="s">
        <v>6</v>
      </c>
    </row>
    <row r="8" spans="1:18" s="399" customFormat="1" ht="23.25" customHeight="1" x14ac:dyDescent="0.25">
      <c r="B8" s="402" t="s">
        <v>7</v>
      </c>
      <c r="C8" s="403" t="s">
        <v>2080</v>
      </c>
      <c r="H8" s="399" t="s">
        <v>8</v>
      </c>
    </row>
    <row r="9" spans="1:18" s="399" customFormat="1" ht="23.25" customHeight="1" x14ac:dyDescent="0.25">
      <c r="B9" s="402" t="s">
        <v>9</v>
      </c>
      <c r="C9" s="403" t="s">
        <v>2081</v>
      </c>
      <c r="H9" s="399" t="s">
        <v>10</v>
      </c>
    </row>
    <row r="10" spans="1:18" s="399" customFormat="1" ht="23.25" customHeight="1" x14ac:dyDescent="0.25">
      <c r="B10" s="402" t="s">
        <v>11</v>
      </c>
      <c r="C10" s="549" t="s">
        <v>2082</v>
      </c>
      <c r="H10" s="399" t="s">
        <v>12</v>
      </c>
    </row>
    <row r="11" spans="1:18" s="399" customFormat="1" ht="23.25" customHeight="1" thickBot="1" x14ac:dyDescent="0.3">
      <c r="B11" s="404" t="s">
        <v>13</v>
      </c>
      <c r="C11" s="550">
        <v>3165259018</v>
      </c>
      <c r="H11" s="399" t="s">
        <v>14</v>
      </c>
    </row>
    <row r="12" spans="1:18" x14ac:dyDescent="0.25">
      <c r="H12" t="s">
        <v>15</v>
      </c>
    </row>
    <row r="13" spans="1:18" x14ac:dyDescent="0.25">
      <c r="H13" t="s">
        <v>16</v>
      </c>
    </row>
    <row r="14" spans="1:18" x14ac:dyDescent="0.25">
      <c r="H14" t="s">
        <v>17</v>
      </c>
    </row>
    <row r="15" spans="1:18" x14ac:dyDescent="0.25">
      <c r="H15" t="s">
        <v>18</v>
      </c>
    </row>
    <row r="16" spans="1:18" x14ac:dyDescent="0.25">
      <c r="H16" t="s">
        <v>19</v>
      </c>
    </row>
    <row r="17" spans="8:8" x14ac:dyDescent="0.25">
      <c r="H17" t="s">
        <v>20</v>
      </c>
    </row>
    <row r="18" spans="8:8" x14ac:dyDescent="0.25">
      <c r="H18" t="s">
        <v>21</v>
      </c>
    </row>
    <row r="19" spans="8:8" x14ac:dyDescent="0.25">
      <c r="H19" t="s">
        <v>22</v>
      </c>
    </row>
    <row r="20" spans="8:8" x14ac:dyDescent="0.25">
      <c r="H20" t="s">
        <v>23</v>
      </c>
    </row>
    <row r="21" spans="8:8" x14ac:dyDescent="0.25">
      <c r="H21" t="s">
        <v>24</v>
      </c>
    </row>
    <row r="22" spans="8:8" x14ac:dyDescent="0.25">
      <c r="H22" t="s">
        <v>25</v>
      </c>
    </row>
    <row r="23" spans="8:8" x14ac:dyDescent="0.25">
      <c r="H23" t="s">
        <v>26</v>
      </c>
    </row>
    <row r="24" spans="8:8" x14ac:dyDescent="0.25">
      <c r="H24" t="s">
        <v>27</v>
      </c>
    </row>
    <row r="25" spans="8:8" x14ac:dyDescent="0.25">
      <c r="H25" t="s">
        <v>28</v>
      </c>
    </row>
    <row r="26" spans="8:8" x14ac:dyDescent="0.25">
      <c r="H26" t="s">
        <v>29</v>
      </c>
    </row>
    <row r="27" spans="8:8" x14ac:dyDescent="0.25">
      <c r="H27" t="s">
        <v>30</v>
      </c>
    </row>
    <row r="28" spans="8:8" x14ac:dyDescent="0.25">
      <c r="H28" t="s">
        <v>31</v>
      </c>
    </row>
    <row r="29" spans="8:8" x14ac:dyDescent="0.25">
      <c r="H29" t="s">
        <v>32</v>
      </c>
    </row>
    <row r="30" spans="8:8" x14ac:dyDescent="0.25">
      <c r="H30" t="s">
        <v>33</v>
      </c>
    </row>
    <row r="31" spans="8:8" x14ac:dyDescent="0.25">
      <c r="H31" t="s">
        <v>34</v>
      </c>
    </row>
    <row r="32" spans="8:8" x14ac:dyDescent="0.25">
      <c r="H32" t="s">
        <v>35</v>
      </c>
    </row>
    <row r="33" spans="8:8" x14ac:dyDescent="0.25">
      <c r="H33" t="s">
        <v>36</v>
      </c>
    </row>
    <row r="34" spans="8:8" x14ac:dyDescent="0.25">
      <c r="H34" t="s">
        <v>37</v>
      </c>
    </row>
    <row r="35" spans="8:8" x14ac:dyDescent="0.25">
      <c r="H35" t="s">
        <v>38</v>
      </c>
    </row>
    <row r="36" spans="8:8" x14ac:dyDescent="0.25">
      <c r="H36" t="s">
        <v>39</v>
      </c>
    </row>
    <row r="37" spans="8:8" x14ac:dyDescent="0.25">
      <c r="H37" t="s">
        <v>40</v>
      </c>
    </row>
    <row r="39" spans="8:8" x14ac:dyDescent="0.25">
      <c r="H39" t="s">
        <v>41</v>
      </c>
    </row>
    <row r="40" spans="8:8" x14ac:dyDescent="0.25">
      <c r="H40" t="s">
        <v>42</v>
      </c>
    </row>
    <row r="41" spans="8:8" x14ac:dyDescent="0.25">
      <c r="H41" t="s">
        <v>43</v>
      </c>
    </row>
    <row r="42" spans="8:8" x14ac:dyDescent="0.25">
      <c r="H42" t="s">
        <v>44</v>
      </c>
    </row>
    <row r="43" spans="8:8" x14ac:dyDescent="0.25">
      <c r="H43" t="s">
        <v>45</v>
      </c>
    </row>
    <row r="44" spans="8:8" x14ac:dyDescent="0.25">
      <c r="H44" t="s">
        <v>46</v>
      </c>
    </row>
    <row r="45" spans="8:8" x14ac:dyDescent="0.25">
      <c r="H45" t="s">
        <v>47</v>
      </c>
    </row>
    <row r="46" spans="8:8" x14ac:dyDescent="0.25">
      <c r="H46" t="s">
        <v>48</v>
      </c>
    </row>
    <row r="47" spans="8:8" x14ac:dyDescent="0.25">
      <c r="H47" t="s">
        <v>49</v>
      </c>
    </row>
    <row r="48" spans="8:8" x14ac:dyDescent="0.25">
      <c r="H48" t="s">
        <v>50</v>
      </c>
    </row>
    <row r="49" spans="8:8" x14ac:dyDescent="0.25">
      <c r="H49" t="s">
        <v>51</v>
      </c>
    </row>
    <row r="50" spans="8:8" x14ac:dyDescent="0.25">
      <c r="H50" t="s">
        <v>52</v>
      </c>
    </row>
    <row r="51" spans="8:8" x14ac:dyDescent="0.25">
      <c r="H51" t="s">
        <v>53</v>
      </c>
    </row>
    <row r="52" spans="8:8" x14ac:dyDescent="0.25">
      <c r="H52" t="s">
        <v>54</v>
      </c>
    </row>
    <row r="53" spans="8:8" x14ac:dyDescent="0.25">
      <c r="H53" t="s">
        <v>55</v>
      </c>
    </row>
    <row r="54" spans="8:8" x14ac:dyDescent="0.25">
      <c r="H54" t="s">
        <v>56</v>
      </c>
    </row>
    <row r="55" spans="8:8" x14ac:dyDescent="0.25">
      <c r="H55" t="s">
        <v>57</v>
      </c>
    </row>
    <row r="56" spans="8:8" x14ac:dyDescent="0.25">
      <c r="H56" t="s">
        <v>58</v>
      </c>
    </row>
    <row r="57" spans="8:8" x14ac:dyDescent="0.25">
      <c r="H57" t="s">
        <v>59</v>
      </c>
    </row>
    <row r="58" spans="8:8" x14ac:dyDescent="0.25">
      <c r="H58" t="s">
        <v>60</v>
      </c>
    </row>
  </sheetData>
  <mergeCells count="1">
    <mergeCell ref="A2:C2"/>
  </mergeCells>
  <dataValidations count="2">
    <dataValidation type="list" allowBlank="1" showInputMessage="1" showErrorMessage="1" prompt="Seleccione la CAR de la cual incorporara la información" sqref="C5">
      <formula1>Lista_CAR</formula1>
    </dataValidation>
    <dataValidation type="list" allowBlank="1" showInputMessage="1" showErrorMessage="1" prompt="Seleccione el perido a reportar" sqref="C6">
      <formula1>$H$39:$H$58</formula1>
    </dataValidation>
  </dataValidations>
  <hyperlinks>
    <hyperlink ref="C10" r:id="rId1"/>
  </hyperlinks>
  <pageMargins left="0.7" right="0.7" top="0.75" bottom="0.75" header="0.3" footer="0.3"/>
  <pageSetup paperSize="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A7" sqref="A7"/>
    </sheetView>
  </sheetViews>
  <sheetFormatPr baseColWidth="10" defaultColWidth="11.42578125" defaultRowHeight="15" x14ac:dyDescent="0.25"/>
  <cols>
    <col min="1" max="1" width="50.28515625" customWidth="1"/>
    <col min="2" max="2" width="68.42578125" customWidth="1"/>
  </cols>
  <sheetData>
    <row r="1" spans="1:2" ht="15.75" thickBot="1" x14ac:dyDescent="0.3">
      <c r="A1" s="1346"/>
      <c r="B1" s="1346"/>
    </row>
    <row r="2" spans="1:2" ht="15.75" thickBot="1" x14ac:dyDescent="0.3">
      <c r="A2" s="1374" t="s">
        <v>828</v>
      </c>
      <c r="B2" s="1348"/>
    </row>
    <row r="3" spans="1:2" ht="15.75" thickBot="1" x14ac:dyDescent="0.3">
      <c r="A3" s="1244" t="s">
        <v>118</v>
      </c>
      <c r="B3" s="1245"/>
    </row>
    <row r="4" spans="1:2" ht="15.75" thickBot="1" x14ac:dyDescent="0.3">
      <c r="A4" s="479" t="s">
        <v>750</v>
      </c>
      <c r="B4" s="479" t="s">
        <v>120</v>
      </c>
    </row>
    <row r="5" spans="1:2" ht="26.25" thickBot="1" x14ac:dyDescent="0.3">
      <c r="A5" s="480" t="s">
        <v>751</v>
      </c>
      <c r="B5" s="481" t="s">
        <v>752</v>
      </c>
    </row>
    <row r="6" spans="1:2" ht="16.5" thickTop="1" thickBot="1" x14ac:dyDescent="0.3">
      <c r="A6" s="482" t="s">
        <v>753</v>
      </c>
      <c r="B6" s="481" t="s">
        <v>829</v>
      </c>
    </row>
    <row r="7" spans="1:2" ht="78" thickTop="1" thickBot="1" x14ac:dyDescent="0.3">
      <c r="A7" s="489" t="s">
        <v>830</v>
      </c>
      <c r="B7" s="481" t="s">
        <v>831</v>
      </c>
    </row>
    <row r="8" spans="1:2" ht="90.75" thickTop="1" thickBot="1" x14ac:dyDescent="0.3">
      <c r="A8" s="489" t="s">
        <v>832</v>
      </c>
      <c r="B8" s="481" t="s">
        <v>833</v>
      </c>
    </row>
    <row r="9" spans="1:2" ht="90.75" thickTop="1" thickBot="1" x14ac:dyDescent="0.3">
      <c r="A9" s="489" t="s">
        <v>834</v>
      </c>
      <c r="B9" s="481" t="s">
        <v>835</v>
      </c>
    </row>
    <row r="10" spans="1:2" ht="90.75" thickTop="1" thickBot="1" x14ac:dyDescent="0.3">
      <c r="A10" s="489" t="s">
        <v>836</v>
      </c>
      <c r="B10" s="481" t="s">
        <v>837</v>
      </c>
    </row>
    <row r="11" spans="1:2" ht="27" thickTop="1" thickBot="1" x14ac:dyDescent="0.3">
      <c r="A11" s="489" t="s">
        <v>838</v>
      </c>
      <c r="B11" s="481" t="s">
        <v>839</v>
      </c>
    </row>
    <row r="12" spans="1:2" ht="27" thickTop="1" thickBot="1" x14ac:dyDescent="0.3">
      <c r="A12" s="489" t="s">
        <v>840</v>
      </c>
      <c r="B12" s="481" t="s">
        <v>778</v>
      </c>
    </row>
    <row r="13" spans="1:2" ht="15.75" thickTop="1" x14ac:dyDescent="0.25"/>
  </sheetData>
  <mergeCells count="3">
    <mergeCell ref="A1:B1"/>
    <mergeCell ref="A2:B2"/>
    <mergeCell ref="A3:B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159"/>
  <sheetViews>
    <sheetView topLeftCell="H1" zoomScale="110" zoomScaleNormal="110" zoomScaleSheetLayoutView="100" workbookViewId="0">
      <pane xSplit="1" ySplit="2" topLeftCell="I3" activePane="bottomRight" state="frozen"/>
      <selection activeCell="H1" sqref="H1"/>
      <selection pane="topRight" activeCell="I1" sqref="I1"/>
      <selection pane="bottomLeft" activeCell="H3" sqref="H3"/>
      <selection pane="bottomRight" activeCell="H163" sqref="H163"/>
    </sheetView>
  </sheetViews>
  <sheetFormatPr baseColWidth="10" defaultRowHeight="15" x14ac:dyDescent="0.25"/>
  <cols>
    <col min="1" max="1" width="16" hidden="1" customWidth="1"/>
    <col min="2" max="2" width="15" hidden="1" customWidth="1"/>
    <col min="3" max="3" width="15.7109375" hidden="1" customWidth="1"/>
    <col min="4" max="4" width="15" hidden="1" customWidth="1"/>
    <col min="5" max="7" width="13.42578125" hidden="1" customWidth="1"/>
    <col min="8" max="8" width="35.85546875" customWidth="1"/>
    <col min="9" max="9" width="20.140625" customWidth="1"/>
    <col min="10" max="13" width="19.7109375" customWidth="1"/>
    <col min="14" max="14" width="16.85546875" customWidth="1"/>
    <col min="15" max="17" width="14.140625" customWidth="1"/>
    <col min="18" max="18" width="16.85546875" customWidth="1"/>
    <col min="19" max="19" width="13.42578125" customWidth="1"/>
    <col min="20" max="21" width="12.85546875" customWidth="1"/>
    <col min="22" max="22" width="14.140625" customWidth="1"/>
    <col min="23" max="25" width="12" customWidth="1"/>
    <col min="26" max="26" width="15.140625" customWidth="1"/>
    <col min="27" max="29" width="12.85546875" customWidth="1"/>
    <col min="30" max="30" width="15.140625" customWidth="1"/>
    <col min="31" max="33" width="12.85546875" customWidth="1"/>
    <col min="34" max="34" width="16.85546875" customWidth="1"/>
    <col min="35" max="37" width="12.85546875" customWidth="1"/>
    <col min="38" max="39" width="11.42578125" customWidth="1"/>
    <col min="40" max="40" width="11" customWidth="1"/>
    <col min="41" max="41" width="9.85546875" customWidth="1"/>
    <col min="42" max="43" width="11.42578125" customWidth="1"/>
    <col min="44" max="44" width="11" customWidth="1"/>
    <col min="45" max="45" width="9.85546875" customWidth="1"/>
    <col min="46" max="49" width="18.42578125" customWidth="1"/>
    <col min="50" max="51" width="11.42578125" customWidth="1"/>
    <col min="52" max="52" width="11" customWidth="1"/>
    <col min="53" max="53" width="9.85546875" customWidth="1"/>
    <col min="54" max="54" width="13.140625" customWidth="1"/>
    <col min="55" max="55" width="11.42578125" customWidth="1"/>
    <col min="56" max="56" width="11" customWidth="1"/>
    <col min="57" max="57" width="11.140625" customWidth="1"/>
    <col min="58" max="58" width="16.85546875" customWidth="1"/>
    <col min="59" max="61" width="15.42578125" customWidth="1"/>
    <col min="62" max="62" width="15.140625" customWidth="1"/>
    <col min="63" max="65" width="13.140625" bestFit="1" customWidth="1"/>
    <col min="66" max="66" width="16.85546875" customWidth="1"/>
    <col min="67" max="69" width="14.140625" customWidth="1"/>
    <col min="70" max="73" width="18.42578125" customWidth="1"/>
    <col min="74" max="74" width="16.85546875" customWidth="1"/>
    <col min="75" max="75" width="13.42578125" customWidth="1"/>
    <col min="76" max="77" width="12.85546875" customWidth="1"/>
    <col min="78" max="78" width="16.85546875" customWidth="1"/>
    <col min="79" max="81" width="15.42578125" customWidth="1"/>
    <col min="82" max="82" width="19.7109375" bestFit="1" customWidth="1"/>
    <col min="83" max="85" width="19.7109375" customWidth="1"/>
    <col min="86" max="86" width="18.140625" customWidth="1"/>
    <col min="87" max="87" width="14.42578125" customWidth="1"/>
    <col min="88" max="88" width="12.28515625" bestFit="1" customWidth="1"/>
    <col min="89" max="89" width="13" bestFit="1" customWidth="1"/>
  </cols>
  <sheetData>
    <row r="1" spans="1:100" ht="24" thickTop="1" thickBot="1" x14ac:dyDescent="0.3">
      <c r="A1" s="600" t="s">
        <v>201</v>
      </c>
      <c r="B1" s="600" t="s">
        <v>202</v>
      </c>
      <c r="C1" s="1011" t="s">
        <v>203</v>
      </c>
      <c r="D1" s="600" t="s">
        <v>204</v>
      </c>
      <c r="E1" s="600" t="s">
        <v>205</v>
      </c>
      <c r="F1" s="600" t="s">
        <v>206</v>
      </c>
      <c r="G1" s="600" t="s">
        <v>207</v>
      </c>
      <c r="H1" s="1011" t="s">
        <v>779</v>
      </c>
      <c r="I1" s="1175"/>
      <c r="J1" s="1375" t="s">
        <v>226</v>
      </c>
      <c r="K1" s="1376"/>
      <c r="L1" s="1376"/>
      <c r="M1" s="1377"/>
      <c r="N1" s="1375" t="s">
        <v>233</v>
      </c>
      <c r="O1" s="1376"/>
      <c r="P1" s="1376"/>
      <c r="Q1" s="1377"/>
      <c r="R1" s="1375" t="s">
        <v>247</v>
      </c>
      <c r="S1" s="1376"/>
      <c r="T1" s="1376"/>
      <c r="U1" s="1377"/>
      <c r="V1" s="1375" t="s">
        <v>257</v>
      </c>
      <c r="W1" s="1376"/>
      <c r="X1" s="1376"/>
      <c r="Y1" s="1377"/>
      <c r="Z1" s="1375" t="s">
        <v>262</v>
      </c>
      <c r="AA1" s="1376"/>
      <c r="AB1" s="1376"/>
      <c r="AC1" s="1377"/>
      <c r="AD1" s="1375" t="s">
        <v>272</v>
      </c>
      <c r="AE1" s="1376"/>
      <c r="AF1" s="1376"/>
      <c r="AG1" s="1377"/>
      <c r="AH1" s="1378" t="s">
        <v>277</v>
      </c>
      <c r="AI1" s="1379"/>
      <c r="AJ1" s="1379"/>
      <c r="AK1" s="1380"/>
      <c r="AL1" s="1375" t="s">
        <v>282</v>
      </c>
      <c r="AM1" s="1376"/>
      <c r="AN1" s="1376"/>
      <c r="AO1" s="1377"/>
      <c r="AP1" s="1375" t="s">
        <v>287</v>
      </c>
      <c r="AQ1" s="1376"/>
      <c r="AR1" s="1376"/>
      <c r="AS1" s="1377"/>
      <c r="AT1" s="1375" t="s">
        <v>292</v>
      </c>
      <c r="AU1" s="1376"/>
      <c r="AV1" s="1376"/>
      <c r="AW1" s="1377"/>
      <c r="AX1" s="1375" t="s">
        <v>302</v>
      </c>
      <c r="AY1" s="1376"/>
      <c r="AZ1" s="1376"/>
      <c r="BA1" s="1377"/>
      <c r="BB1" s="1375" t="s">
        <v>329</v>
      </c>
      <c r="BC1" s="1376"/>
      <c r="BD1" s="1376"/>
      <c r="BE1" s="1377"/>
      <c r="BF1" s="1389" t="s">
        <v>2622</v>
      </c>
      <c r="BG1" s="1387"/>
      <c r="BH1" s="1387"/>
      <c r="BI1" s="1388"/>
      <c r="BJ1" s="1386" t="s">
        <v>2623</v>
      </c>
      <c r="BK1" s="1387"/>
      <c r="BL1" s="1387"/>
      <c r="BM1" s="1388"/>
      <c r="BN1" s="1390" t="s">
        <v>740</v>
      </c>
      <c r="BO1" s="1376"/>
      <c r="BP1" s="1376"/>
      <c r="BQ1" s="1377"/>
      <c r="BR1" s="1375" t="s">
        <v>625</v>
      </c>
      <c r="BS1" s="1376"/>
      <c r="BT1" s="1376"/>
      <c r="BU1" s="1377"/>
      <c r="BV1" s="1383" t="s">
        <v>2243</v>
      </c>
      <c r="BW1" s="1384"/>
      <c r="BX1" s="1384"/>
      <c r="BY1" s="1385"/>
      <c r="BZ1" s="1375" t="s">
        <v>2242</v>
      </c>
      <c r="CA1" s="1376"/>
      <c r="CB1" s="1376"/>
      <c r="CC1" s="1377"/>
      <c r="CD1" s="1371" t="s">
        <v>784</v>
      </c>
      <c r="CE1" s="1381"/>
      <c r="CF1" s="1381"/>
      <c r="CG1" s="1382"/>
      <c r="CH1" s="1053" t="s">
        <v>785</v>
      </c>
    </row>
    <row r="2" spans="1:100" ht="25.5" thickTop="1" thickBot="1" x14ac:dyDescent="0.3">
      <c r="A2" s="1054"/>
      <c r="B2" s="1054"/>
      <c r="C2" s="1055"/>
      <c r="D2" s="1054"/>
      <c r="E2" s="1054"/>
      <c r="F2" s="1054"/>
      <c r="G2" s="1054"/>
      <c r="H2" s="1055"/>
      <c r="I2" s="1176" t="s">
        <v>2643</v>
      </c>
      <c r="J2" s="1056" t="s">
        <v>786</v>
      </c>
      <c r="K2" s="1057" t="s">
        <v>787</v>
      </c>
      <c r="L2" s="1057" t="s">
        <v>788</v>
      </c>
      <c r="M2" s="1057" t="s">
        <v>789</v>
      </c>
      <c r="N2" s="1057" t="s">
        <v>786</v>
      </c>
      <c r="O2" s="1057" t="s">
        <v>787</v>
      </c>
      <c r="P2" s="1057" t="s">
        <v>788</v>
      </c>
      <c r="Q2" s="1057" t="s">
        <v>789</v>
      </c>
      <c r="R2" s="1057" t="s">
        <v>786</v>
      </c>
      <c r="S2" s="1057" t="s">
        <v>787</v>
      </c>
      <c r="T2" s="1057" t="s">
        <v>788</v>
      </c>
      <c r="U2" s="1057" t="s">
        <v>789</v>
      </c>
      <c r="V2" s="1057" t="s">
        <v>786</v>
      </c>
      <c r="W2" s="1057" t="s">
        <v>787</v>
      </c>
      <c r="X2" s="1057" t="s">
        <v>788</v>
      </c>
      <c r="Y2" s="1057" t="s">
        <v>789</v>
      </c>
      <c r="Z2" s="1057" t="s">
        <v>786</v>
      </c>
      <c r="AA2" s="1057" t="s">
        <v>787</v>
      </c>
      <c r="AB2" s="1057" t="s">
        <v>788</v>
      </c>
      <c r="AC2" s="1057" t="s">
        <v>789</v>
      </c>
      <c r="AD2" s="1057" t="s">
        <v>786</v>
      </c>
      <c r="AE2" s="1057" t="s">
        <v>787</v>
      </c>
      <c r="AF2" s="1057" t="s">
        <v>788</v>
      </c>
      <c r="AG2" s="1057" t="s">
        <v>789</v>
      </c>
      <c r="AH2" s="1057" t="s">
        <v>786</v>
      </c>
      <c r="AI2" s="1057" t="s">
        <v>787</v>
      </c>
      <c r="AJ2" s="1057" t="s">
        <v>788</v>
      </c>
      <c r="AK2" s="1057" t="s">
        <v>789</v>
      </c>
      <c r="AL2" s="1057" t="s">
        <v>786</v>
      </c>
      <c r="AM2" s="1057" t="s">
        <v>787</v>
      </c>
      <c r="AN2" s="1057" t="s">
        <v>788</v>
      </c>
      <c r="AO2" s="1057" t="s">
        <v>789</v>
      </c>
      <c r="AP2" s="1057" t="s">
        <v>786</v>
      </c>
      <c r="AQ2" s="1057" t="s">
        <v>787</v>
      </c>
      <c r="AR2" s="1057" t="s">
        <v>788</v>
      </c>
      <c r="AS2" s="1057" t="s">
        <v>789</v>
      </c>
      <c r="AT2" s="1057" t="s">
        <v>786</v>
      </c>
      <c r="AU2" s="1057" t="s">
        <v>787</v>
      </c>
      <c r="AV2" s="1057" t="s">
        <v>788</v>
      </c>
      <c r="AW2" s="1057" t="s">
        <v>789</v>
      </c>
      <c r="AX2" s="1057" t="s">
        <v>786</v>
      </c>
      <c r="AY2" s="1057" t="s">
        <v>787</v>
      </c>
      <c r="AZ2" s="1057" t="s">
        <v>788</v>
      </c>
      <c r="BA2" s="1057" t="s">
        <v>789</v>
      </c>
      <c r="BB2" s="1057" t="s">
        <v>786</v>
      </c>
      <c r="BC2" s="1057" t="s">
        <v>787</v>
      </c>
      <c r="BD2" s="1057" t="s">
        <v>788</v>
      </c>
      <c r="BE2" s="1057" t="s">
        <v>789</v>
      </c>
      <c r="BF2" s="1057" t="s">
        <v>786</v>
      </c>
      <c r="BG2" s="1057" t="s">
        <v>787</v>
      </c>
      <c r="BH2" s="1057" t="s">
        <v>788</v>
      </c>
      <c r="BI2" s="1057" t="s">
        <v>789</v>
      </c>
      <c r="BJ2" s="1057" t="s">
        <v>786</v>
      </c>
      <c r="BK2" s="1057" t="s">
        <v>787</v>
      </c>
      <c r="BL2" s="1057" t="s">
        <v>788</v>
      </c>
      <c r="BM2" s="1057" t="s">
        <v>789</v>
      </c>
      <c r="BN2" s="1057" t="s">
        <v>786</v>
      </c>
      <c r="BO2" s="1057" t="s">
        <v>787</v>
      </c>
      <c r="BP2" s="1057" t="s">
        <v>788</v>
      </c>
      <c r="BQ2" s="1057" t="s">
        <v>789</v>
      </c>
      <c r="BR2" s="1057" t="s">
        <v>786</v>
      </c>
      <c r="BS2" s="1057" t="s">
        <v>787</v>
      </c>
      <c r="BT2" s="1057" t="s">
        <v>788</v>
      </c>
      <c r="BU2" s="1057" t="s">
        <v>789</v>
      </c>
      <c r="BV2" s="1057" t="s">
        <v>786</v>
      </c>
      <c r="BW2" s="1057" t="s">
        <v>787</v>
      </c>
      <c r="BX2" s="1057" t="s">
        <v>788</v>
      </c>
      <c r="BY2" s="1057" t="s">
        <v>789</v>
      </c>
      <c r="BZ2" s="1057" t="s">
        <v>786</v>
      </c>
      <c r="CA2" s="1057" t="s">
        <v>787</v>
      </c>
      <c r="CB2" s="1057" t="s">
        <v>788</v>
      </c>
      <c r="CC2" s="1057" t="s">
        <v>789</v>
      </c>
      <c r="CD2" s="1057" t="s">
        <v>786</v>
      </c>
      <c r="CE2" s="1057" t="s">
        <v>787</v>
      </c>
      <c r="CF2" s="1057" t="s">
        <v>788</v>
      </c>
      <c r="CG2" s="1057" t="s">
        <v>790</v>
      </c>
      <c r="CH2" s="1057"/>
    </row>
    <row r="3" spans="1:100" ht="16.5" thickTop="1" thickBot="1" x14ac:dyDescent="0.3">
      <c r="A3" s="435" t="s">
        <v>227</v>
      </c>
      <c r="B3" s="435" t="s">
        <v>305</v>
      </c>
      <c r="C3" s="435"/>
      <c r="D3" s="435"/>
      <c r="E3" s="435"/>
      <c r="F3" s="435"/>
      <c r="G3" s="435"/>
      <c r="H3" s="1207"/>
      <c r="I3" s="757">
        <f t="shared" ref="I3" si="0">+I4+I27+I59+I75+I96</f>
        <v>89805683410.959991</v>
      </c>
      <c r="J3" s="757">
        <f t="shared" ref="J3:CA3" si="1">+J4+J27+J59+J75+J96</f>
        <v>45219999999.959991</v>
      </c>
      <c r="K3" s="757">
        <f t="shared" si="1"/>
        <v>44922438631.900009</v>
      </c>
      <c r="L3" s="757">
        <f t="shared" si="1"/>
        <v>10198989780.51</v>
      </c>
      <c r="M3" s="757">
        <f t="shared" si="1"/>
        <v>8664166745.4799995</v>
      </c>
      <c r="N3" s="757">
        <f t="shared" si="1"/>
        <v>1564200000</v>
      </c>
      <c r="O3" s="757">
        <f t="shared" si="1"/>
        <v>1564200000</v>
      </c>
      <c r="P3" s="757">
        <f t="shared" si="1"/>
        <v>1564200000</v>
      </c>
      <c r="Q3" s="757">
        <f t="shared" si="1"/>
        <v>1564200000</v>
      </c>
      <c r="R3" s="757">
        <f t="shared" si="1"/>
        <v>2597000000</v>
      </c>
      <c r="S3" s="757">
        <f t="shared" si="1"/>
        <v>2597000000</v>
      </c>
      <c r="T3" s="757">
        <f t="shared" si="1"/>
        <v>1602503271.75</v>
      </c>
      <c r="U3" s="757">
        <f t="shared" si="1"/>
        <v>1404503271.75</v>
      </c>
      <c r="V3" s="757">
        <f t="shared" si="1"/>
        <v>69300000</v>
      </c>
      <c r="W3" s="757">
        <f t="shared" si="1"/>
        <v>69298965.289999962</v>
      </c>
      <c r="X3" s="757">
        <f t="shared" si="1"/>
        <v>69298965.289999962</v>
      </c>
      <c r="Y3" s="757">
        <f t="shared" si="1"/>
        <v>69298965.289999962</v>
      </c>
      <c r="Z3" s="757">
        <f t="shared" si="1"/>
        <v>298800000</v>
      </c>
      <c r="AA3" s="757">
        <f t="shared" si="1"/>
        <v>298800000</v>
      </c>
      <c r="AB3" s="757">
        <f t="shared" si="1"/>
        <v>298800000</v>
      </c>
      <c r="AC3" s="757">
        <f t="shared" si="1"/>
        <v>298800000</v>
      </c>
      <c r="AD3" s="757">
        <f t="shared" si="1"/>
        <v>270000000</v>
      </c>
      <c r="AE3" s="757">
        <f t="shared" si="1"/>
        <v>270000000</v>
      </c>
      <c r="AF3" s="757">
        <f t="shared" si="1"/>
        <v>170000000</v>
      </c>
      <c r="AG3" s="757">
        <f t="shared" si="1"/>
        <v>170000000</v>
      </c>
      <c r="AH3" s="757">
        <f t="shared" si="1"/>
        <v>1080000000</v>
      </c>
      <c r="AI3" s="757">
        <f t="shared" si="1"/>
        <v>1080000000</v>
      </c>
      <c r="AJ3" s="757">
        <f t="shared" si="1"/>
        <v>1080000000</v>
      </c>
      <c r="AK3" s="757">
        <f t="shared" si="1"/>
        <v>1080000000</v>
      </c>
      <c r="AL3" s="757">
        <f t="shared" si="1"/>
        <v>900000</v>
      </c>
      <c r="AM3" s="757">
        <f t="shared" si="1"/>
        <v>900000</v>
      </c>
      <c r="AN3" s="757">
        <f t="shared" si="1"/>
        <v>900000</v>
      </c>
      <c r="AO3" s="757">
        <f t="shared" si="1"/>
        <v>900000</v>
      </c>
      <c r="AP3" s="757">
        <f t="shared" si="1"/>
        <v>900000</v>
      </c>
      <c r="AQ3" s="757">
        <f t="shared" si="1"/>
        <v>900000</v>
      </c>
      <c r="AR3" s="757">
        <f t="shared" si="1"/>
        <v>900000</v>
      </c>
      <c r="AS3" s="757">
        <f t="shared" si="1"/>
        <v>0</v>
      </c>
      <c r="AT3" s="757">
        <f t="shared" si="1"/>
        <v>1700000000</v>
      </c>
      <c r="AU3" s="757">
        <f t="shared" si="1"/>
        <v>1700000000</v>
      </c>
      <c r="AV3" s="757">
        <f t="shared" si="1"/>
        <v>1700000000</v>
      </c>
      <c r="AW3" s="757">
        <f t="shared" si="1"/>
        <v>1700000000</v>
      </c>
      <c r="AX3" s="757">
        <f t="shared" si="1"/>
        <v>900000</v>
      </c>
      <c r="AY3" s="757">
        <f t="shared" si="1"/>
        <v>900000</v>
      </c>
      <c r="AZ3" s="757">
        <f t="shared" si="1"/>
        <v>900000</v>
      </c>
      <c r="BA3" s="757">
        <f t="shared" si="1"/>
        <v>900000</v>
      </c>
      <c r="BB3" s="757">
        <f t="shared" si="1"/>
        <v>1800000</v>
      </c>
      <c r="BC3" s="757">
        <f t="shared" si="1"/>
        <v>1800000</v>
      </c>
      <c r="BD3" s="757">
        <f t="shared" si="1"/>
        <v>1800000</v>
      </c>
      <c r="BE3" s="757">
        <f t="shared" si="1"/>
        <v>1800000</v>
      </c>
      <c r="BF3" s="757">
        <f t="shared" si="1"/>
        <v>1068300000.04</v>
      </c>
      <c r="BG3" s="757">
        <f t="shared" si="1"/>
        <v>886541999.48000002</v>
      </c>
      <c r="BH3" s="757">
        <f t="shared" si="1"/>
        <v>886541999.48000002</v>
      </c>
      <c r="BI3" s="757">
        <f t="shared" si="1"/>
        <v>886541999.48000002</v>
      </c>
      <c r="BJ3" s="757">
        <f t="shared" si="1"/>
        <v>452665000</v>
      </c>
      <c r="BK3" s="757">
        <f t="shared" si="1"/>
        <v>452665000</v>
      </c>
      <c r="BL3" s="757">
        <f t="shared" si="1"/>
        <v>133122000</v>
      </c>
      <c r="BM3" s="757">
        <f t="shared" si="1"/>
        <v>133122000</v>
      </c>
      <c r="BN3" s="757">
        <f t="shared" si="1"/>
        <v>7000000000</v>
      </c>
      <c r="BO3" s="757">
        <f t="shared" si="1"/>
        <v>7000000000</v>
      </c>
      <c r="BP3" s="757">
        <f t="shared" si="1"/>
        <v>7000000000</v>
      </c>
      <c r="BQ3" s="757">
        <f t="shared" si="1"/>
        <v>7000000000</v>
      </c>
      <c r="BR3" s="757">
        <f t="shared" si="1"/>
        <v>24427301985.439999</v>
      </c>
      <c r="BS3" s="757">
        <f t="shared" si="1"/>
        <v>24422165769.439999</v>
      </c>
      <c r="BT3" s="757">
        <f t="shared" si="1"/>
        <v>8392115489.8899994</v>
      </c>
      <c r="BU3" s="757">
        <f t="shared" si="1"/>
        <v>7947852537.8899994</v>
      </c>
      <c r="BV3" s="757">
        <f t="shared" si="1"/>
        <v>3898816425.52</v>
      </c>
      <c r="BW3" s="757">
        <f t="shared" si="1"/>
        <v>3352541450.3799996</v>
      </c>
      <c r="BX3" s="757">
        <f t="shared" si="1"/>
        <v>2843102818.3399997</v>
      </c>
      <c r="BY3" s="757">
        <f t="shared" si="1"/>
        <v>2672182148.6900001</v>
      </c>
      <c r="BZ3" s="757">
        <f t="shared" si="1"/>
        <v>154800000</v>
      </c>
      <c r="CA3" s="757">
        <f t="shared" si="1"/>
        <v>150032151.75999999</v>
      </c>
      <c r="CB3" s="757">
        <f t="shared" ref="CB3:CC3" si="2">+CB4+CB27+CB59+CB75+CB96</f>
        <v>54800000</v>
      </c>
      <c r="CC3" s="757">
        <f t="shared" si="2"/>
        <v>54800000</v>
      </c>
      <c r="CD3" s="757">
        <f>+CD4+CD27+CD59+CD75+CD96</f>
        <v>89805683410.959991</v>
      </c>
      <c r="CE3" s="757">
        <f>+CE4+CE27+CE59+CE75+CE96</f>
        <v>88951941968.250015</v>
      </c>
      <c r="CF3" s="757">
        <f>+CF4+CF27+CF59+CF75+CF96</f>
        <v>36304560326</v>
      </c>
      <c r="CG3" s="757">
        <f>+CG4+CG27+CG59+CG75+CG96</f>
        <v>33831469669</v>
      </c>
      <c r="CH3" s="439"/>
      <c r="CI3" s="758">
        <f t="shared" ref="CI3:CI34" si="3">+I3-CD3</f>
        <v>0</v>
      </c>
    </row>
    <row r="4" spans="1:100" ht="27" thickTop="1" thickBot="1" x14ac:dyDescent="0.3">
      <c r="A4" s="676"/>
      <c r="B4" s="677"/>
      <c r="C4" s="677"/>
      <c r="D4" s="677"/>
      <c r="E4" s="676"/>
      <c r="F4" s="676"/>
      <c r="G4" s="676"/>
      <c r="H4" s="678" t="s">
        <v>2150</v>
      </c>
      <c r="I4" s="751">
        <f t="shared" ref="I4" si="4">+I5+I20</f>
        <v>52172985552</v>
      </c>
      <c r="J4" s="751">
        <f t="shared" ref="J4:CA4" si="5">+J5+J20</f>
        <v>28430647551.959999</v>
      </c>
      <c r="K4" s="751">
        <f t="shared" si="5"/>
        <v>28425904340.420006</v>
      </c>
      <c r="L4" s="751">
        <f t="shared" si="5"/>
        <v>1802756454.3100004</v>
      </c>
      <c r="M4" s="751">
        <f t="shared" si="5"/>
        <v>1725658591.51</v>
      </c>
      <c r="N4" s="751">
        <f t="shared" si="5"/>
        <v>0</v>
      </c>
      <c r="O4" s="751">
        <f t="shared" si="5"/>
        <v>0</v>
      </c>
      <c r="P4" s="751">
        <f t="shared" si="5"/>
        <v>0</v>
      </c>
      <c r="Q4" s="751">
        <f t="shared" si="5"/>
        <v>0</v>
      </c>
      <c r="R4" s="751">
        <f t="shared" si="5"/>
        <v>902000000</v>
      </c>
      <c r="S4" s="751">
        <f t="shared" si="5"/>
        <v>902000000</v>
      </c>
      <c r="T4" s="751">
        <f t="shared" si="5"/>
        <v>202000000</v>
      </c>
      <c r="U4" s="751">
        <f t="shared" si="5"/>
        <v>202000000</v>
      </c>
      <c r="V4" s="751">
        <f t="shared" si="5"/>
        <v>0</v>
      </c>
      <c r="W4" s="751">
        <f t="shared" si="5"/>
        <v>0</v>
      </c>
      <c r="X4" s="751">
        <f t="shared" si="5"/>
        <v>0</v>
      </c>
      <c r="Y4" s="751">
        <f t="shared" si="5"/>
        <v>0</v>
      </c>
      <c r="Z4" s="751">
        <f t="shared" si="5"/>
        <v>0</v>
      </c>
      <c r="AA4" s="751">
        <f t="shared" si="5"/>
        <v>0</v>
      </c>
      <c r="AB4" s="751">
        <f t="shared" si="5"/>
        <v>0</v>
      </c>
      <c r="AC4" s="751">
        <f t="shared" si="5"/>
        <v>0</v>
      </c>
      <c r="AD4" s="751">
        <f t="shared" si="5"/>
        <v>70000000</v>
      </c>
      <c r="AE4" s="751">
        <f t="shared" si="5"/>
        <v>70000000</v>
      </c>
      <c r="AF4" s="751">
        <f t="shared" si="5"/>
        <v>70000000</v>
      </c>
      <c r="AG4" s="751">
        <f t="shared" si="5"/>
        <v>70000000</v>
      </c>
      <c r="AH4" s="751">
        <f t="shared" si="5"/>
        <v>1080000000</v>
      </c>
      <c r="AI4" s="751">
        <f t="shared" si="5"/>
        <v>1080000000</v>
      </c>
      <c r="AJ4" s="751">
        <f t="shared" si="5"/>
        <v>1080000000</v>
      </c>
      <c r="AK4" s="751">
        <f t="shared" si="5"/>
        <v>1080000000</v>
      </c>
      <c r="AL4" s="751">
        <f t="shared" si="5"/>
        <v>0</v>
      </c>
      <c r="AM4" s="751">
        <f t="shared" si="5"/>
        <v>0</v>
      </c>
      <c r="AN4" s="751">
        <f t="shared" si="5"/>
        <v>0</v>
      </c>
      <c r="AO4" s="751">
        <f t="shared" si="5"/>
        <v>0</v>
      </c>
      <c r="AP4" s="751">
        <f t="shared" si="5"/>
        <v>0</v>
      </c>
      <c r="AQ4" s="751">
        <f t="shared" si="5"/>
        <v>0</v>
      </c>
      <c r="AR4" s="751">
        <f t="shared" si="5"/>
        <v>0</v>
      </c>
      <c r="AS4" s="751">
        <f t="shared" si="5"/>
        <v>0</v>
      </c>
      <c r="AT4" s="751">
        <f t="shared" si="5"/>
        <v>1700000000</v>
      </c>
      <c r="AU4" s="751">
        <f t="shared" si="5"/>
        <v>1700000000</v>
      </c>
      <c r="AV4" s="751">
        <f t="shared" si="5"/>
        <v>1700000000</v>
      </c>
      <c r="AW4" s="751">
        <f t="shared" si="5"/>
        <v>1700000000</v>
      </c>
      <c r="AX4" s="751">
        <f t="shared" si="5"/>
        <v>0</v>
      </c>
      <c r="AY4" s="751">
        <f t="shared" si="5"/>
        <v>0</v>
      </c>
      <c r="AZ4" s="751">
        <f t="shared" si="5"/>
        <v>0</v>
      </c>
      <c r="BA4" s="751">
        <f t="shared" si="5"/>
        <v>0</v>
      </c>
      <c r="BB4" s="751">
        <f t="shared" si="5"/>
        <v>0</v>
      </c>
      <c r="BC4" s="751">
        <f t="shared" si="5"/>
        <v>0</v>
      </c>
      <c r="BD4" s="751">
        <f t="shared" si="5"/>
        <v>0</v>
      </c>
      <c r="BE4" s="751">
        <f t="shared" si="5"/>
        <v>0</v>
      </c>
      <c r="BF4" s="751">
        <f t="shared" si="5"/>
        <v>879058425.55999994</v>
      </c>
      <c r="BG4" s="751">
        <f t="shared" si="5"/>
        <v>879058425</v>
      </c>
      <c r="BH4" s="751">
        <f t="shared" si="5"/>
        <v>879058425</v>
      </c>
      <c r="BI4" s="751">
        <f t="shared" si="5"/>
        <v>879058425</v>
      </c>
      <c r="BJ4" s="751">
        <f t="shared" si="5"/>
        <v>0</v>
      </c>
      <c r="BK4" s="751">
        <f t="shared" si="5"/>
        <v>0</v>
      </c>
      <c r="BL4" s="751">
        <f t="shared" si="5"/>
        <v>0</v>
      </c>
      <c r="BM4" s="751">
        <f t="shared" si="5"/>
        <v>0</v>
      </c>
      <c r="BN4" s="751">
        <f t="shared" si="5"/>
        <v>0</v>
      </c>
      <c r="BO4" s="751">
        <f t="shared" si="5"/>
        <v>0</v>
      </c>
      <c r="BP4" s="751">
        <f t="shared" si="5"/>
        <v>0</v>
      </c>
      <c r="BQ4" s="751">
        <f t="shared" si="5"/>
        <v>0</v>
      </c>
      <c r="BR4" s="751">
        <f t="shared" si="5"/>
        <v>18897279574.48</v>
      </c>
      <c r="BS4" s="751">
        <f t="shared" si="5"/>
        <v>18892939574.48</v>
      </c>
      <c r="BT4" s="751">
        <f t="shared" si="5"/>
        <v>3172201858.7199998</v>
      </c>
      <c r="BU4" s="751">
        <f t="shared" si="5"/>
        <v>3053233631.7199998</v>
      </c>
      <c r="BV4" s="751">
        <f t="shared" si="5"/>
        <v>114000000</v>
      </c>
      <c r="BW4" s="751">
        <f t="shared" si="5"/>
        <v>114000000</v>
      </c>
      <c r="BX4" s="751">
        <f t="shared" si="5"/>
        <v>64000000</v>
      </c>
      <c r="BY4" s="751">
        <f t="shared" si="5"/>
        <v>64000000</v>
      </c>
      <c r="BZ4" s="751">
        <f t="shared" si="5"/>
        <v>100000000</v>
      </c>
      <c r="CA4" s="751">
        <f t="shared" si="5"/>
        <v>95232151.760000005</v>
      </c>
      <c r="CB4" s="751">
        <f t="shared" ref="CB4:CC4" si="6">+CB5+CB20</f>
        <v>0</v>
      </c>
      <c r="CC4" s="751">
        <f t="shared" si="6"/>
        <v>0</v>
      </c>
      <c r="CD4" s="751">
        <f t="shared" ref="CD4:CE70" si="7">+J4+N4+R4+V4+Z4+AD4+AH4+AL4+AP4+AT4+AX4+BB4+BF4+BJ4+BN4+BR4+BV4+BZ4</f>
        <v>52172985552</v>
      </c>
      <c r="CE4" s="751">
        <f>+CE5+CE20</f>
        <v>52159134491.660004</v>
      </c>
      <c r="CF4" s="751">
        <f>+CF5+CF20</f>
        <v>8970016738</v>
      </c>
      <c r="CG4" s="751">
        <f>+CG5+CG20</f>
        <v>8773950648</v>
      </c>
      <c r="CH4" s="439"/>
      <c r="CI4" s="758">
        <f t="shared" si="3"/>
        <v>0</v>
      </c>
    </row>
    <row r="5" spans="1:100" ht="27" thickTop="1" thickBot="1" x14ac:dyDescent="0.3">
      <c r="A5" s="679"/>
      <c r="B5" s="680"/>
      <c r="C5" s="680"/>
      <c r="D5" s="680"/>
      <c r="E5" s="679"/>
      <c r="F5" s="679"/>
      <c r="G5" s="679"/>
      <c r="H5" s="681" t="s">
        <v>2234</v>
      </c>
      <c r="I5" s="750">
        <f>+I6+I13+I17</f>
        <v>52002985552</v>
      </c>
      <c r="J5" s="750">
        <f t="shared" ref="J5:BS5" si="8">+J6+J13+J17</f>
        <v>28330647551.959999</v>
      </c>
      <c r="K5" s="750">
        <f t="shared" si="8"/>
        <v>28325904340.420006</v>
      </c>
      <c r="L5" s="750">
        <f t="shared" si="8"/>
        <v>1737496454.3100004</v>
      </c>
      <c r="M5" s="750">
        <f t="shared" si="8"/>
        <v>1660398591.51</v>
      </c>
      <c r="N5" s="750">
        <f t="shared" si="8"/>
        <v>0</v>
      </c>
      <c r="O5" s="750">
        <f t="shared" si="8"/>
        <v>0</v>
      </c>
      <c r="P5" s="750">
        <f t="shared" si="8"/>
        <v>0</v>
      </c>
      <c r="Q5" s="750">
        <f t="shared" si="8"/>
        <v>0</v>
      </c>
      <c r="R5" s="750">
        <f t="shared" si="8"/>
        <v>902000000</v>
      </c>
      <c r="S5" s="750">
        <f t="shared" si="8"/>
        <v>902000000</v>
      </c>
      <c r="T5" s="750">
        <f t="shared" si="8"/>
        <v>202000000</v>
      </c>
      <c r="U5" s="750">
        <f t="shared" si="8"/>
        <v>202000000</v>
      </c>
      <c r="V5" s="750">
        <f t="shared" si="8"/>
        <v>0</v>
      </c>
      <c r="W5" s="750">
        <f t="shared" si="8"/>
        <v>0</v>
      </c>
      <c r="X5" s="750">
        <f t="shared" si="8"/>
        <v>0</v>
      </c>
      <c r="Y5" s="750">
        <f t="shared" si="8"/>
        <v>0</v>
      </c>
      <c r="Z5" s="750">
        <f t="shared" si="8"/>
        <v>0</v>
      </c>
      <c r="AA5" s="750">
        <f t="shared" si="8"/>
        <v>0</v>
      </c>
      <c r="AB5" s="750">
        <f t="shared" si="8"/>
        <v>0</v>
      </c>
      <c r="AC5" s="750">
        <f t="shared" si="8"/>
        <v>0</v>
      </c>
      <c r="AD5" s="750">
        <f t="shared" si="8"/>
        <v>70000000</v>
      </c>
      <c r="AE5" s="750">
        <f t="shared" si="8"/>
        <v>70000000</v>
      </c>
      <c r="AF5" s="750">
        <f t="shared" si="8"/>
        <v>70000000</v>
      </c>
      <c r="AG5" s="750">
        <f t="shared" si="8"/>
        <v>70000000</v>
      </c>
      <c r="AH5" s="750">
        <f t="shared" si="8"/>
        <v>1080000000</v>
      </c>
      <c r="AI5" s="750">
        <f t="shared" si="8"/>
        <v>1080000000</v>
      </c>
      <c r="AJ5" s="750">
        <f t="shared" si="8"/>
        <v>1080000000</v>
      </c>
      <c r="AK5" s="750">
        <f t="shared" si="8"/>
        <v>1080000000</v>
      </c>
      <c r="AL5" s="750">
        <f t="shared" si="8"/>
        <v>0</v>
      </c>
      <c r="AM5" s="750">
        <f t="shared" si="8"/>
        <v>0</v>
      </c>
      <c r="AN5" s="750">
        <f t="shared" si="8"/>
        <v>0</v>
      </c>
      <c r="AO5" s="750">
        <f t="shared" si="8"/>
        <v>0</v>
      </c>
      <c r="AP5" s="750">
        <f t="shared" si="8"/>
        <v>0</v>
      </c>
      <c r="AQ5" s="750">
        <f t="shared" si="8"/>
        <v>0</v>
      </c>
      <c r="AR5" s="750">
        <f t="shared" si="8"/>
        <v>0</v>
      </c>
      <c r="AS5" s="750">
        <f t="shared" si="8"/>
        <v>0</v>
      </c>
      <c r="AT5" s="750">
        <f t="shared" si="8"/>
        <v>1700000000</v>
      </c>
      <c r="AU5" s="750">
        <f t="shared" si="8"/>
        <v>1700000000</v>
      </c>
      <c r="AV5" s="750">
        <f t="shared" si="8"/>
        <v>1700000000</v>
      </c>
      <c r="AW5" s="750">
        <f t="shared" si="8"/>
        <v>1700000000</v>
      </c>
      <c r="AX5" s="750">
        <f t="shared" si="8"/>
        <v>0</v>
      </c>
      <c r="AY5" s="750">
        <f t="shared" si="8"/>
        <v>0</v>
      </c>
      <c r="AZ5" s="750">
        <f t="shared" si="8"/>
        <v>0</v>
      </c>
      <c r="BA5" s="750">
        <f t="shared" si="8"/>
        <v>0</v>
      </c>
      <c r="BB5" s="750">
        <f t="shared" si="8"/>
        <v>0</v>
      </c>
      <c r="BC5" s="750">
        <f t="shared" si="8"/>
        <v>0</v>
      </c>
      <c r="BD5" s="750">
        <f t="shared" si="8"/>
        <v>0</v>
      </c>
      <c r="BE5" s="750">
        <f t="shared" si="8"/>
        <v>0</v>
      </c>
      <c r="BF5" s="750">
        <f t="shared" si="8"/>
        <v>879058425.55999994</v>
      </c>
      <c r="BG5" s="750">
        <f t="shared" si="8"/>
        <v>879058425</v>
      </c>
      <c r="BH5" s="750">
        <f t="shared" si="8"/>
        <v>879058425</v>
      </c>
      <c r="BI5" s="750">
        <f t="shared" si="8"/>
        <v>879058425</v>
      </c>
      <c r="BJ5" s="750">
        <f t="shared" si="8"/>
        <v>0</v>
      </c>
      <c r="BK5" s="750">
        <f t="shared" si="8"/>
        <v>0</v>
      </c>
      <c r="BL5" s="750">
        <f t="shared" si="8"/>
        <v>0</v>
      </c>
      <c r="BM5" s="750">
        <f t="shared" si="8"/>
        <v>0</v>
      </c>
      <c r="BN5" s="750">
        <f t="shared" si="8"/>
        <v>0</v>
      </c>
      <c r="BO5" s="750">
        <f t="shared" si="8"/>
        <v>0</v>
      </c>
      <c r="BP5" s="750">
        <f t="shared" si="8"/>
        <v>0</v>
      </c>
      <c r="BQ5" s="750">
        <f t="shared" si="8"/>
        <v>0</v>
      </c>
      <c r="BR5" s="750">
        <f t="shared" si="8"/>
        <v>18877279574.48</v>
      </c>
      <c r="BS5" s="750">
        <f t="shared" si="8"/>
        <v>18877279574.48</v>
      </c>
      <c r="BT5" s="750">
        <f t="shared" ref="BT5:CC5" si="9">+BT6+BT13+BT17</f>
        <v>3172201858.7199998</v>
      </c>
      <c r="BU5" s="750">
        <f t="shared" si="9"/>
        <v>3053233631.7199998</v>
      </c>
      <c r="BV5" s="750">
        <f t="shared" si="9"/>
        <v>64000000</v>
      </c>
      <c r="BW5" s="750">
        <f t="shared" si="9"/>
        <v>64000000</v>
      </c>
      <c r="BX5" s="750">
        <f t="shared" si="9"/>
        <v>64000000</v>
      </c>
      <c r="BY5" s="750">
        <f t="shared" si="9"/>
        <v>64000000</v>
      </c>
      <c r="BZ5" s="750">
        <f t="shared" si="9"/>
        <v>100000000</v>
      </c>
      <c r="CA5" s="750">
        <f t="shared" si="9"/>
        <v>95232151.760000005</v>
      </c>
      <c r="CB5" s="750">
        <f t="shared" si="9"/>
        <v>0</v>
      </c>
      <c r="CC5" s="750">
        <f t="shared" si="9"/>
        <v>0</v>
      </c>
      <c r="CD5" s="750">
        <f t="shared" si="7"/>
        <v>52002985552</v>
      </c>
      <c r="CE5" s="750">
        <f>+CE6+CE13+CE17</f>
        <v>51993474491.660004</v>
      </c>
      <c r="CF5" s="750">
        <f>+CF6+CF13+CF17</f>
        <v>8904756738</v>
      </c>
      <c r="CG5" s="750">
        <f>+CG6+CG13+CG17</f>
        <v>8708690648</v>
      </c>
      <c r="CH5" s="682"/>
      <c r="CI5" s="758">
        <f t="shared" si="3"/>
        <v>0</v>
      </c>
    </row>
    <row r="6" spans="1:100" ht="27" thickTop="1" thickBot="1" x14ac:dyDescent="0.3">
      <c r="A6" s="683"/>
      <c r="B6" s="683"/>
      <c r="C6" s="683"/>
      <c r="D6" s="683"/>
      <c r="E6" s="683"/>
      <c r="F6" s="683"/>
      <c r="G6" s="683"/>
      <c r="H6" s="684" t="s">
        <v>2151</v>
      </c>
      <c r="I6" s="1041">
        <f>+SUM(I7:I12)</f>
        <v>36926985552</v>
      </c>
      <c r="J6" s="1041">
        <f t="shared" ref="J6:BS6" si="10">+SUM(J7:J12)</f>
        <v>17174647551.959999</v>
      </c>
      <c r="K6" s="1041">
        <f t="shared" si="10"/>
        <v>17174647552.520004</v>
      </c>
      <c r="L6" s="1041">
        <f t="shared" si="10"/>
        <v>1737496454.3100004</v>
      </c>
      <c r="M6" s="1041">
        <f t="shared" si="10"/>
        <v>1660398591.51</v>
      </c>
      <c r="N6" s="1041">
        <f t="shared" si="10"/>
        <v>0</v>
      </c>
      <c r="O6" s="1041">
        <f t="shared" si="10"/>
        <v>0</v>
      </c>
      <c r="P6" s="1041">
        <f t="shared" si="10"/>
        <v>0</v>
      </c>
      <c r="Q6" s="1041">
        <f t="shared" si="10"/>
        <v>0</v>
      </c>
      <c r="R6" s="1041">
        <f t="shared" si="10"/>
        <v>202000000</v>
      </c>
      <c r="S6" s="1041">
        <f t="shared" si="10"/>
        <v>202000000</v>
      </c>
      <c r="T6" s="1041">
        <f t="shared" si="10"/>
        <v>202000000</v>
      </c>
      <c r="U6" s="1041">
        <f t="shared" si="10"/>
        <v>202000000</v>
      </c>
      <c r="V6" s="1041">
        <f t="shared" si="10"/>
        <v>0</v>
      </c>
      <c r="W6" s="1041">
        <f t="shared" si="10"/>
        <v>0</v>
      </c>
      <c r="X6" s="1041">
        <f t="shared" si="10"/>
        <v>0</v>
      </c>
      <c r="Y6" s="1041">
        <f t="shared" si="10"/>
        <v>0</v>
      </c>
      <c r="Z6" s="1041">
        <f t="shared" si="10"/>
        <v>0</v>
      </c>
      <c r="AA6" s="1041">
        <f t="shared" si="10"/>
        <v>0</v>
      </c>
      <c r="AB6" s="1041">
        <f t="shared" si="10"/>
        <v>0</v>
      </c>
      <c r="AC6" s="1041">
        <f t="shared" si="10"/>
        <v>0</v>
      </c>
      <c r="AD6" s="1041">
        <f t="shared" si="10"/>
        <v>70000000</v>
      </c>
      <c r="AE6" s="1041">
        <f t="shared" si="10"/>
        <v>70000000</v>
      </c>
      <c r="AF6" s="1041">
        <f t="shared" si="10"/>
        <v>70000000</v>
      </c>
      <c r="AG6" s="1041">
        <f t="shared" si="10"/>
        <v>70000000</v>
      </c>
      <c r="AH6" s="1041">
        <f t="shared" si="10"/>
        <v>1080000000</v>
      </c>
      <c r="AI6" s="1041">
        <f t="shared" si="10"/>
        <v>1080000000</v>
      </c>
      <c r="AJ6" s="1041">
        <f t="shared" si="10"/>
        <v>1080000000</v>
      </c>
      <c r="AK6" s="1041">
        <f t="shared" si="10"/>
        <v>1080000000</v>
      </c>
      <c r="AL6" s="1041">
        <f t="shared" si="10"/>
        <v>0</v>
      </c>
      <c r="AM6" s="1041">
        <f t="shared" si="10"/>
        <v>0</v>
      </c>
      <c r="AN6" s="1041">
        <f t="shared" si="10"/>
        <v>0</v>
      </c>
      <c r="AO6" s="1041">
        <f t="shared" si="10"/>
        <v>0</v>
      </c>
      <c r="AP6" s="1041">
        <f t="shared" si="10"/>
        <v>0</v>
      </c>
      <c r="AQ6" s="1041">
        <f t="shared" si="10"/>
        <v>0</v>
      </c>
      <c r="AR6" s="1041">
        <f t="shared" si="10"/>
        <v>0</v>
      </c>
      <c r="AS6" s="1041">
        <f t="shared" si="10"/>
        <v>0</v>
      </c>
      <c r="AT6" s="1041">
        <f t="shared" si="10"/>
        <v>0</v>
      </c>
      <c r="AU6" s="1041">
        <f t="shared" si="10"/>
        <v>0</v>
      </c>
      <c r="AV6" s="1041">
        <f t="shared" si="10"/>
        <v>0</v>
      </c>
      <c r="AW6" s="1041">
        <f t="shared" si="10"/>
        <v>0</v>
      </c>
      <c r="AX6" s="1041">
        <f t="shared" si="10"/>
        <v>0</v>
      </c>
      <c r="AY6" s="1041">
        <f t="shared" si="10"/>
        <v>0</v>
      </c>
      <c r="AZ6" s="1041">
        <f t="shared" si="10"/>
        <v>0</v>
      </c>
      <c r="BA6" s="1041">
        <f t="shared" si="10"/>
        <v>0</v>
      </c>
      <c r="BB6" s="1041">
        <f t="shared" si="10"/>
        <v>0</v>
      </c>
      <c r="BC6" s="1041">
        <f t="shared" si="10"/>
        <v>0</v>
      </c>
      <c r="BD6" s="1041">
        <f t="shared" si="10"/>
        <v>0</v>
      </c>
      <c r="BE6" s="1041">
        <f t="shared" si="10"/>
        <v>0</v>
      </c>
      <c r="BF6" s="1041">
        <f t="shared" si="10"/>
        <v>859058425.55999994</v>
      </c>
      <c r="BG6" s="1041">
        <f t="shared" si="10"/>
        <v>859058425</v>
      </c>
      <c r="BH6" s="1041">
        <f t="shared" si="10"/>
        <v>859058425</v>
      </c>
      <c r="BI6" s="1041">
        <f t="shared" si="10"/>
        <v>859058425</v>
      </c>
      <c r="BJ6" s="1041">
        <f t="shared" si="10"/>
        <v>0</v>
      </c>
      <c r="BK6" s="1041">
        <f t="shared" si="10"/>
        <v>0</v>
      </c>
      <c r="BL6" s="1041">
        <f t="shared" si="10"/>
        <v>0</v>
      </c>
      <c r="BM6" s="1041">
        <f t="shared" si="10"/>
        <v>0</v>
      </c>
      <c r="BN6" s="1041">
        <f t="shared" si="10"/>
        <v>0</v>
      </c>
      <c r="BO6" s="1041">
        <f t="shared" si="10"/>
        <v>0</v>
      </c>
      <c r="BP6" s="1041">
        <f t="shared" si="10"/>
        <v>0</v>
      </c>
      <c r="BQ6" s="1041">
        <f t="shared" si="10"/>
        <v>0</v>
      </c>
      <c r="BR6" s="1041">
        <f t="shared" si="10"/>
        <v>17477279574.48</v>
      </c>
      <c r="BS6" s="1041">
        <f t="shared" si="10"/>
        <v>17477279574.48</v>
      </c>
      <c r="BT6" s="1041">
        <f t="shared" ref="BT6:CC6" si="11">+SUM(BT7:BT12)</f>
        <v>2767292282.5799999</v>
      </c>
      <c r="BU6" s="1041">
        <f t="shared" si="11"/>
        <v>2648324055.5799999</v>
      </c>
      <c r="BV6" s="1041">
        <f t="shared" si="11"/>
        <v>64000000</v>
      </c>
      <c r="BW6" s="1041">
        <f t="shared" si="11"/>
        <v>64000000</v>
      </c>
      <c r="BX6" s="1041">
        <f t="shared" si="11"/>
        <v>64000000</v>
      </c>
      <c r="BY6" s="1041">
        <f t="shared" si="11"/>
        <v>64000000</v>
      </c>
      <c r="BZ6" s="1041">
        <f t="shared" si="11"/>
        <v>0</v>
      </c>
      <c r="CA6" s="1041">
        <f t="shared" si="11"/>
        <v>0</v>
      </c>
      <c r="CB6" s="1041">
        <f t="shared" si="11"/>
        <v>0</v>
      </c>
      <c r="CC6" s="1041">
        <f t="shared" si="11"/>
        <v>0</v>
      </c>
      <c r="CD6" s="685">
        <f t="shared" si="7"/>
        <v>36926985552</v>
      </c>
      <c r="CE6" s="1181">
        <f t="shared" si="7"/>
        <v>36926985552</v>
      </c>
      <c r="CF6" s="685">
        <v>6779847162</v>
      </c>
      <c r="CG6" s="685">
        <v>6583781072</v>
      </c>
      <c r="CH6" s="1042"/>
      <c r="CI6" s="758">
        <f t="shared" si="3"/>
        <v>0</v>
      </c>
    </row>
    <row r="7" spans="1:100" ht="39.75" thickTop="1" thickBot="1" x14ac:dyDescent="0.3">
      <c r="A7" s="444"/>
      <c r="B7" s="444"/>
      <c r="C7" s="445"/>
      <c r="D7" s="445"/>
      <c r="E7" s="445"/>
      <c r="F7" s="445"/>
      <c r="G7" s="445"/>
      <c r="H7" s="686" t="s">
        <v>2271</v>
      </c>
      <c r="I7" s="1043">
        <v>29191482237.059998</v>
      </c>
      <c r="J7" s="687">
        <v>10391144237.019997</v>
      </c>
      <c r="K7" s="687">
        <v>10391144237.58</v>
      </c>
      <c r="L7" s="687">
        <v>0</v>
      </c>
      <c r="M7" s="687">
        <v>0</v>
      </c>
      <c r="N7" s="687"/>
      <c r="O7" s="687"/>
      <c r="P7" s="687"/>
      <c r="Q7" s="687"/>
      <c r="S7" s="687"/>
      <c r="T7" s="687"/>
      <c r="U7" s="687"/>
      <c r="V7" s="687"/>
      <c r="W7" s="687"/>
      <c r="X7" s="687"/>
      <c r="Y7" s="687"/>
      <c r="Z7" s="687"/>
      <c r="AA7" s="687"/>
      <c r="AB7" s="687"/>
      <c r="AC7" s="687"/>
      <c r="AD7" s="687">
        <v>70000000</v>
      </c>
      <c r="AE7" s="687">
        <v>70000000</v>
      </c>
      <c r="AF7" s="687">
        <v>70000000</v>
      </c>
      <c r="AG7" s="687">
        <v>70000000</v>
      </c>
      <c r="AH7" s="687">
        <v>330000000</v>
      </c>
      <c r="AI7" s="687">
        <v>330000000</v>
      </c>
      <c r="AJ7" s="687">
        <v>330000000</v>
      </c>
      <c r="AK7" s="687">
        <v>330000000</v>
      </c>
      <c r="AL7" s="687"/>
      <c r="AM7" s="687"/>
      <c r="AN7" s="687"/>
      <c r="AO7" s="687"/>
      <c r="AP7" s="687"/>
      <c r="AQ7" s="687"/>
      <c r="AR7" s="687"/>
      <c r="AS7" s="687"/>
      <c r="AT7" s="687"/>
      <c r="AU7" s="687"/>
      <c r="AV7" s="687"/>
      <c r="AW7" s="687"/>
      <c r="AX7" s="687"/>
      <c r="AY7" s="687"/>
      <c r="AZ7" s="687"/>
      <c r="BA7" s="687"/>
      <c r="BB7" s="687"/>
      <c r="BC7" s="687"/>
      <c r="BD7" s="687"/>
      <c r="BE7" s="687"/>
      <c r="BF7" s="687">
        <v>859058425.55999994</v>
      </c>
      <c r="BG7" s="687">
        <v>859058425</v>
      </c>
      <c r="BH7" s="687">
        <v>859058425</v>
      </c>
      <c r="BI7" s="687">
        <v>859058425</v>
      </c>
      <c r="BJ7" s="687"/>
      <c r="BK7" s="687"/>
      <c r="BL7" s="687"/>
      <c r="BM7" s="687"/>
      <c r="BN7" s="687"/>
      <c r="BO7" s="687"/>
      <c r="BP7" s="687"/>
      <c r="BQ7" s="687"/>
      <c r="BR7" s="687">
        <v>17477279574.48</v>
      </c>
      <c r="BS7" s="687">
        <v>17477279574.48</v>
      </c>
      <c r="BT7" s="687">
        <v>2767292282.5799999</v>
      </c>
      <c r="BU7" s="687">
        <v>2648324055.5799999</v>
      </c>
      <c r="BV7" s="687">
        <v>64000000</v>
      </c>
      <c r="BW7" s="687">
        <v>64000000</v>
      </c>
      <c r="BX7" s="687">
        <v>64000000</v>
      </c>
      <c r="BY7" s="687">
        <v>64000000</v>
      </c>
      <c r="BZ7" s="687"/>
      <c r="CA7" s="687"/>
      <c r="CB7" s="687"/>
      <c r="CC7" s="687"/>
      <c r="CD7" s="688">
        <f>+J7+N7+R7+V7+Z7+AD7+AH7+AL7+AP7+AT7+AX7+BB7+BF7+BJ7+BN7+BR7+BV7+BZ7</f>
        <v>29191482237.059998</v>
      </c>
      <c r="CE7" s="687">
        <f>+K7+O7+S7+W7+AA7+AE7+AI7+AM7+AQ7+AU7+AY7+BC7+BG7+BK7+BO7+BS7+BW7+CA7</f>
        <v>29191482237.059998</v>
      </c>
      <c r="CF7" s="688">
        <v>4090350707.5799999</v>
      </c>
      <c r="CG7" s="688">
        <v>3971382480.5799999</v>
      </c>
      <c r="CH7" s="740"/>
      <c r="CI7" s="758">
        <f t="shared" si="3"/>
        <v>0</v>
      </c>
    </row>
    <row r="8" spans="1:100" ht="39.75" thickTop="1" thickBot="1" x14ac:dyDescent="0.3">
      <c r="A8" s="444"/>
      <c r="B8" s="444"/>
      <c r="C8" s="444"/>
      <c r="D8" s="444"/>
      <c r="E8" s="445"/>
      <c r="F8" s="445"/>
      <c r="G8" s="444"/>
      <c r="H8" s="686" t="s">
        <v>2274</v>
      </c>
      <c r="I8" s="1043">
        <v>5807546884.630002</v>
      </c>
      <c r="J8" s="687">
        <v>5807546884.630002</v>
      </c>
      <c r="K8" s="687">
        <v>5807546884.630002</v>
      </c>
      <c r="L8" s="687">
        <v>761540024</v>
      </c>
      <c r="M8" s="687">
        <v>761540024</v>
      </c>
      <c r="N8" s="687"/>
      <c r="O8" s="687"/>
      <c r="P8" s="687"/>
      <c r="Q8" s="687"/>
      <c r="R8" s="687"/>
      <c r="S8" s="687"/>
      <c r="T8" s="68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c r="AT8" s="687"/>
      <c r="AU8" s="687"/>
      <c r="AV8" s="687"/>
      <c r="AW8" s="687"/>
      <c r="AX8" s="687"/>
      <c r="AY8" s="687"/>
      <c r="AZ8" s="687"/>
      <c r="BA8" s="687"/>
      <c r="BB8" s="687"/>
      <c r="BC8" s="687"/>
      <c r="BD8" s="687"/>
      <c r="BE8" s="687"/>
      <c r="BF8" s="687"/>
      <c r="BG8" s="687"/>
      <c r="BH8" s="687"/>
      <c r="BI8" s="687"/>
      <c r="BJ8" s="687"/>
      <c r="BK8" s="687"/>
      <c r="BL8" s="687"/>
      <c r="BM8" s="687"/>
      <c r="BN8" s="687"/>
      <c r="BO8" s="687"/>
      <c r="BP8" s="687"/>
      <c r="BQ8" s="687"/>
      <c r="BS8" s="687"/>
      <c r="BT8" s="687"/>
      <c r="BU8" s="687"/>
      <c r="BV8" s="687"/>
      <c r="BW8" s="687"/>
      <c r="BX8" s="687"/>
      <c r="BY8" s="687"/>
      <c r="BZ8" s="687"/>
      <c r="CA8" s="687"/>
      <c r="CB8" s="687"/>
      <c r="CC8" s="687"/>
      <c r="CD8" s="688">
        <f t="shared" si="7"/>
        <v>5807546884.630002</v>
      </c>
      <c r="CE8" s="687">
        <f>+K8+O8+S8+W8+AA8+AE8+AI8+AM8+AQ8+AU8+AY8+BC8+BG8+BK8+BO8+BS8+BW8+CA8</f>
        <v>5807546884.630002</v>
      </c>
      <c r="CF8" s="688">
        <v>761540024</v>
      </c>
      <c r="CG8" s="688">
        <v>761540024</v>
      </c>
      <c r="CH8" s="439"/>
      <c r="CI8" s="758">
        <f t="shared" si="3"/>
        <v>0</v>
      </c>
    </row>
    <row r="9" spans="1:100" ht="39.75" thickTop="1" thickBot="1" x14ac:dyDescent="0.3">
      <c r="A9" s="692"/>
      <c r="B9" s="692"/>
      <c r="C9" s="692"/>
      <c r="D9" s="692"/>
      <c r="E9" s="692"/>
      <c r="F9" s="692"/>
      <c r="G9" s="692"/>
      <c r="H9" s="696" t="s">
        <v>2275</v>
      </c>
      <c r="I9" s="1044">
        <v>0</v>
      </c>
      <c r="J9" s="687"/>
      <c r="K9" s="687"/>
      <c r="L9" s="687"/>
      <c r="M9" s="687"/>
      <c r="N9" s="687">
        <v>0</v>
      </c>
      <c r="O9" s="687">
        <v>0</v>
      </c>
      <c r="P9" s="687">
        <v>0</v>
      </c>
      <c r="Q9" s="687">
        <v>0</v>
      </c>
      <c r="R9" s="687">
        <v>0</v>
      </c>
      <c r="S9" s="687">
        <v>0</v>
      </c>
      <c r="T9" s="687">
        <v>0</v>
      </c>
      <c r="U9" s="687">
        <v>0</v>
      </c>
      <c r="V9" s="687">
        <v>0</v>
      </c>
      <c r="W9" s="687">
        <v>0</v>
      </c>
      <c r="X9" s="687">
        <v>0</v>
      </c>
      <c r="Y9" s="687">
        <v>0</v>
      </c>
      <c r="Z9" s="687">
        <v>0</v>
      </c>
      <c r="AA9" s="687">
        <v>0</v>
      </c>
      <c r="AB9" s="687">
        <v>0</v>
      </c>
      <c r="AC9" s="687">
        <v>0</v>
      </c>
      <c r="AD9" s="687">
        <v>0</v>
      </c>
      <c r="AE9" s="687">
        <v>0</v>
      </c>
      <c r="AF9" s="687">
        <v>0</v>
      </c>
      <c r="AG9" s="687">
        <v>0</v>
      </c>
      <c r="AH9" s="687">
        <v>0</v>
      </c>
      <c r="AI9" s="687">
        <v>0</v>
      </c>
      <c r="AJ9" s="687">
        <v>0</v>
      </c>
      <c r="AK9" s="687">
        <v>0</v>
      </c>
      <c r="AL9" s="687">
        <v>0</v>
      </c>
      <c r="AM9" s="687">
        <v>0</v>
      </c>
      <c r="AN9" s="687">
        <v>0</v>
      </c>
      <c r="AO9" s="687">
        <v>0</v>
      </c>
      <c r="AP9" s="687">
        <v>0</v>
      </c>
      <c r="AQ9" s="687">
        <v>0</v>
      </c>
      <c r="AR9" s="687">
        <v>0</v>
      </c>
      <c r="AS9" s="687">
        <v>0</v>
      </c>
      <c r="AT9" s="687">
        <v>0</v>
      </c>
      <c r="AU9" s="687">
        <v>0</v>
      </c>
      <c r="AV9" s="687">
        <v>0</v>
      </c>
      <c r="AW9" s="687">
        <v>0</v>
      </c>
      <c r="AX9" s="687">
        <v>0</v>
      </c>
      <c r="AY9" s="687">
        <v>0</v>
      </c>
      <c r="AZ9" s="687">
        <v>0</v>
      </c>
      <c r="BA9" s="687">
        <v>0</v>
      </c>
      <c r="BB9" s="687">
        <v>0</v>
      </c>
      <c r="BC9" s="687">
        <v>0</v>
      </c>
      <c r="BD9" s="687">
        <v>0</v>
      </c>
      <c r="BE9" s="687">
        <v>0</v>
      </c>
      <c r="BF9" s="687"/>
      <c r="BG9" s="687"/>
      <c r="BH9" s="687"/>
      <c r="BI9" s="687"/>
      <c r="BJ9" s="687"/>
      <c r="BK9" s="687"/>
      <c r="BL9" s="687"/>
      <c r="BM9" s="687"/>
      <c r="BN9" s="687">
        <v>0</v>
      </c>
      <c r="BO9" s="687">
        <v>0</v>
      </c>
      <c r="BP9" s="687">
        <v>0</v>
      </c>
      <c r="BQ9" s="687">
        <v>0</v>
      </c>
      <c r="BR9" s="687">
        <v>0</v>
      </c>
      <c r="BS9" s="687">
        <v>0</v>
      </c>
      <c r="BT9" s="687">
        <v>0</v>
      </c>
      <c r="BU9" s="687">
        <v>0</v>
      </c>
      <c r="BV9" s="687"/>
      <c r="BW9" s="687"/>
      <c r="BX9" s="687"/>
      <c r="BY9" s="687"/>
      <c r="BZ9" s="687">
        <v>0</v>
      </c>
      <c r="CA9" s="687">
        <v>0</v>
      </c>
      <c r="CB9" s="687">
        <v>0</v>
      </c>
      <c r="CC9" s="687">
        <v>0</v>
      </c>
      <c r="CD9" s="688">
        <f t="shared" si="7"/>
        <v>0</v>
      </c>
      <c r="CE9" s="687">
        <v>0</v>
      </c>
      <c r="CF9" s="688">
        <f>+L9+P9+T9+X9+AB9+AF9+AJ9+AN9+AR9+AV9+AZ9+BD9+BP9+BT9+CB9</f>
        <v>0</v>
      </c>
      <c r="CG9" s="688">
        <f>+M9+Q9+U9+Y9+AC9+AG9+AK9+AO9+AS9+AW9+BA9+BE9+BQ9+BU9+CC9</f>
        <v>0</v>
      </c>
      <c r="CH9" s="439"/>
      <c r="CI9" s="758">
        <f t="shared" si="3"/>
        <v>0</v>
      </c>
    </row>
    <row r="10" spans="1:100" ht="52.5" thickTop="1" thickBot="1" x14ac:dyDescent="0.3">
      <c r="A10" s="444"/>
      <c r="B10" s="444"/>
      <c r="C10" s="444"/>
      <c r="D10" s="444"/>
      <c r="E10" s="445"/>
      <c r="F10" s="445"/>
      <c r="G10" s="692"/>
      <c r="H10" s="693" t="s">
        <v>2278</v>
      </c>
      <c r="I10" s="1045">
        <v>0</v>
      </c>
      <c r="J10" s="687"/>
      <c r="K10" s="687"/>
      <c r="L10" s="687"/>
      <c r="M10" s="687"/>
      <c r="N10" s="687"/>
      <c r="O10" s="687"/>
      <c r="P10" s="687"/>
      <c r="Q10" s="687"/>
      <c r="R10" s="687"/>
      <c r="S10" s="687"/>
      <c r="T10" s="687"/>
      <c r="U10" s="687"/>
      <c r="V10" s="687"/>
      <c r="W10" s="687"/>
      <c r="X10" s="687"/>
      <c r="Y10" s="687"/>
      <c r="Z10" s="687"/>
      <c r="AA10" s="687"/>
      <c r="AB10" s="687"/>
      <c r="AC10" s="687"/>
      <c r="AD10" s="687"/>
      <c r="AE10" s="687"/>
      <c r="AF10" s="687"/>
      <c r="AG10" s="687"/>
      <c r="AH10" s="687">
        <v>0</v>
      </c>
      <c r="AI10" s="687">
        <v>0</v>
      </c>
      <c r="AJ10" s="687">
        <v>0</v>
      </c>
      <c r="AK10" s="687">
        <v>0</v>
      </c>
      <c r="AL10" s="687"/>
      <c r="AM10" s="687"/>
      <c r="AN10" s="687"/>
      <c r="AO10" s="687"/>
      <c r="AP10" s="687"/>
      <c r="AQ10" s="687"/>
      <c r="AR10" s="687"/>
      <c r="AS10" s="687"/>
      <c r="AT10" s="687"/>
      <c r="AU10" s="687"/>
      <c r="AV10" s="687"/>
      <c r="AW10" s="687"/>
      <c r="AX10" s="687"/>
      <c r="AY10" s="687"/>
      <c r="AZ10" s="687"/>
      <c r="BA10" s="687"/>
      <c r="BB10" s="687"/>
      <c r="BC10" s="687"/>
      <c r="BD10" s="687"/>
      <c r="BE10" s="687"/>
      <c r="BF10" s="687"/>
      <c r="BG10" s="687"/>
      <c r="BH10" s="687"/>
      <c r="BI10" s="687"/>
      <c r="BJ10" s="687"/>
      <c r="BK10" s="687"/>
      <c r="BL10" s="687"/>
      <c r="BM10" s="687"/>
      <c r="BN10" s="687"/>
      <c r="BO10" s="687"/>
      <c r="BP10" s="687"/>
      <c r="BQ10" s="687"/>
      <c r="BR10" s="687"/>
      <c r="BS10" s="687"/>
      <c r="BT10" s="687"/>
      <c r="BU10" s="687"/>
      <c r="BV10" s="687"/>
      <c r="BW10" s="687"/>
      <c r="BX10" s="687"/>
      <c r="BY10" s="687"/>
      <c r="BZ10" s="687"/>
      <c r="CA10" s="687"/>
      <c r="CB10" s="687"/>
      <c r="CC10" s="687"/>
      <c r="CD10" s="688">
        <f t="shared" si="7"/>
        <v>0</v>
      </c>
      <c r="CE10" s="687">
        <f t="shared" si="7"/>
        <v>0</v>
      </c>
      <c r="CF10" s="688">
        <f>+L10+P10+T10+X10+AB10+AF10+AJ10+AN10+AR10+AV10+AZ10+BD10+BP10+BT10+CB10</f>
        <v>0</v>
      </c>
      <c r="CG10" s="688">
        <f>+M10+Q10+U10+Y10+AC10+AG10+AK10+AO10+AS10+AW10+BA10+BE10+BQ10+BU10+CC10</f>
        <v>0</v>
      </c>
      <c r="CH10" s="439"/>
      <c r="CI10" s="758">
        <f t="shared" si="3"/>
        <v>0</v>
      </c>
    </row>
    <row r="11" spans="1:100" ht="27" thickTop="1" thickBot="1" x14ac:dyDescent="0.3">
      <c r="A11" s="692"/>
      <c r="B11" s="692"/>
      <c r="C11" s="692"/>
      <c r="D11" s="692"/>
      <c r="E11" s="692"/>
      <c r="F11" s="692"/>
      <c r="G11" s="692"/>
      <c r="H11" s="693" t="s">
        <v>2280</v>
      </c>
      <c r="I11" s="1045">
        <v>1927956430.3100004</v>
      </c>
      <c r="J11" s="687">
        <v>975956430.31000042</v>
      </c>
      <c r="K11" s="687">
        <v>975956430.31000042</v>
      </c>
      <c r="L11" s="687">
        <v>975956430.31000042</v>
      </c>
      <c r="M11" s="687">
        <v>898858567.50999999</v>
      </c>
      <c r="N11" s="687"/>
      <c r="O11" s="687"/>
      <c r="P11" s="687"/>
      <c r="Q11" s="687"/>
      <c r="R11" s="687">
        <v>202000000</v>
      </c>
      <c r="S11" s="687">
        <v>202000000</v>
      </c>
      <c r="T11" s="687">
        <v>202000000</v>
      </c>
      <c r="U11" s="687">
        <v>202000000</v>
      </c>
      <c r="V11" s="687"/>
      <c r="W11" s="687"/>
      <c r="X11" s="687"/>
      <c r="Y11" s="687"/>
      <c r="Z11" s="687"/>
      <c r="AA11" s="687"/>
      <c r="AB11" s="687"/>
      <c r="AC11" s="687"/>
      <c r="AD11" s="687"/>
      <c r="AE11" s="687"/>
      <c r="AF11" s="687"/>
      <c r="AG11" s="687"/>
      <c r="AH11" s="687">
        <v>750000000</v>
      </c>
      <c r="AI11" s="687">
        <v>750000000</v>
      </c>
      <c r="AJ11" s="687">
        <v>750000000</v>
      </c>
      <c r="AK11" s="687">
        <v>750000000</v>
      </c>
      <c r="AL11" s="687"/>
      <c r="AM11" s="687"/>
      <c r="AN11" s="687"/>
      <c r="AO11" s="687"/>
      <c r="AP11" s="687"/>
      <c r="AQ11" s="687"/>
      <c r="AR11" s="687"/>
      <c r="AS11" s="687"/>
      <c r="AT11" s="687"/>
      <c r="AU11" s="687"/>
      <c r="AV11" s="687"/>
      <c r="AW11" s="687"/>
      <c r="AX11" s="687"/>
      <c r="AY11" s="687"/>
      <c r="AZ11" s="687"/>
      <c r="BA11" s="687"/>
      <c r="BB11" s="687"/>
      <c r="BC11" s="687"/>
      <c r="BD11" s="687"/>
      <c r="BE11" s="687"/>
      <c r="BF11" s="687"/>
      <c r="BG11" s="687"/>
      <c r="BH11" s="687"/>
      <c r="BI11" s="687"/>
      <c r="BJ11" s="687"/>
      <c r="BK11" s="687"/>
      <c r="BL11" s="687"/>
      <c r="BM11" s="687"/>
      <c r="BN11" s="687"/>
      <c r="BO11" s="687"/>
      <c r="BP11" s="687"/>
      <c r="BQ11" s="687"/>
      <c r="BR11" s="687"/>
      <c r="BS11" s="687"/>
      <c r="BT11" s="687"/>
      <c r="BU11" s="687"/>
      <c r="BV11" s="687"/>
      <c r="BW11" s="687"/>
      <c r="BX11" s="687"/>
      <c r="BY11" s="687"/>
      <c r="BZ11" s="687"/>
      <c r="CA11" s="687"/>
      <c r="CB11" s="687"/>
      <c r="CC11" s="687"/>
      <c r="CD11" s="688">
        <f t="shared" si="7"/>
        <v>1927956430.3100004</v>
      </c>
      <c r="CE11" s="687">
        <f t="shared" si="7"/>
        <v>1927956430.3100004</v>
      </c>
      <c r="CF11" s="688">
        <v>1927956430.3099999</v>
      </c>
      <c r="CG11" s="688">
        <v>1850858567.51</v>
      </c>
      <c r="CH11" s="439"/>
      <c r="CI11" s="758">
        <f t="shared" si="3"/>
        <v>0</v>
      </c>
      <c r="CJ11" s="758"/>
    </row>
    <row r="12" spans="1:100" ht="39.75" thickTop="1" thickBot="1" x14ac:dyDescent="0.3">
      <c r="A12" s="694"/>
      <c r="B12" s="694"/>
      <c r="C12" s="694"/>
      <c r="D12" s="694"/>
      <c r="E12" s="695"/>
      <c r="F12" s="695"/>
      <c r="G12" s="694"/>
      <c r="H12" s="696" t="s">
        <v>2282</v>
      </c>
      <c r="I12" s="1044">
        <v>0</v>
      </c>
      <c r="J12" s="687"/>
      <c r="K12" s="687"/>
      <c r="L12" s="687"/>
      <c r="M12" s="687"/>
      <c r="N12" s="687"/>
      <c r="O12" s="687"/>
      <c r="P12" s="687"/>
      <c r="Q12" s="687"/>
      <c r="R12" s="687"/>
      <c r="S12" s="687"/>
      <c r="T12" s="68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c r="AT12" s="687"/>
      <c r="AU12" s="687"/>
      <c r="AV12" s="687"/>
      <c r="AW12" s="687"/>
      <c r="AX12" s="687"/>
      <c r="AY12" s="687"/>
      <c r="AZ12" s="687"/>
      <c r="BA12" s="687"/>
      <c r="BB12" s="687"/>
      <c r="BC12" s="687"/>
      <c r="BD12" s="687"/>
      <c r="BE12" s="687"/>
      <c r="BF12" s="687"/>
      <c r="BG12" s="687"/>
      <c r="BH12" s="687"/>
      <c r="BI12" s="687"/>
      <c r="BJ12" s="687"/>
      <c r="BK12" s="687"/>
      <c r="BL12" s="687"/>
      <c r="BM12" s="687"/>
      <c r="BN12" s="687"/>
      <c r="BO12" s="687"/>
      <c r="BP12" s="687"/>
      <c r="BQ12" s="687"/>
      <c r="BR12" s="687"/>
      <c r="BS12" s="687"/>
      <c r="BT12" s="687"/>
      <c r="BU12" s="687"/>
      <c r="BV12" s="687"/>
      <c r="BW12" s="687"/>
      <c r="BX12" s="687"/>
      <c r="BY12" s="687"/>
      <c r="BZ12" s="687"/>
      <c r="CA12" s="687"/>
      <c r="CB12" s="687"/>
      <c r="CC12" s="687"/>
      <c r="CD12" s="688">
        <f t="shared" si="7"/>
        <v>0</v>
      </c>
      <c r="CE12" s="687"/>
      <c r="CF12" s="1194"/>
      <c r="CG12" s="1194"/>
      <c r="CH12" s="439"/>
      <c r="CI12" s="758">
        <f t="shared" si="3"/>
        <v>0</v>
      </c>
    </row>
    <row r="13" spans="1:100" ht="27" thickTop="1" thickBot="1" x14ac:dyDescent="0.3">
      <c r="A13" s="683"/>
      <c r="B13" s="697"/>
      <c r="C13" s="697"/>
      <c r="D13" s="697"/>
      <c r="E13" s="697"/>
      <c r="F13" s="697"/>
      <c r="G13" s="697"/>
      <c r="H13" s="698" t="s">
        <v>2153</v>
      </c>
      <c r="I13" s="748">
        <f t="shared" ref="I13:BS13" si="12">+SUM(I14:I16)</f>
        <v>14263000000</v>
      </c>
      <c r="J13" s="748">
        <f t="shared" si="12"/>
        <v>11043000000</v>
      </c>
      <c r="K13" s="748">
        <f t="shared" si="12"/>
        <v>11043000000</v>
      </c>
      <c r="L13" s="748">
        <f t="shared" si="12"/>
        <v>0</v>
      </c>
      <c r="M13" s="748">
        <f t="shared" si="12"/>
        <v>0</v>
      </c>
      <c r="N13" s="748">
        <f t="shared" si="12"/>
        <v>0</v>
      </c>
      <c r="O13" s="748">
        <f t="shared" si="12"/>
        <v>0</v>
      </c>
      <c r="P13" s="748">
        <f t="shared" si="12"/>
        <v>0</v>
      </c>
      <c r="Q13" s="748">
        <f t="shared" si="12"/>
        <v>0</v>
      </c>
      <c r="R13" s="748">
        <f t="shared" si="12"/>
        <v>0</v>
      </c>
      <c r="S13" s="748">
        <f t="shared" si="12"/>
        <v>0</v>
      </c>
      <c r="T13" s="748">
        <f t="shared" si="12"/>
        <v>0</v>
      </c>
      <c r="U13" s="748">
        <f t="shared" si="12"/>
        <v>0</v>
      </c>
      <c r="V13" s="748">
        <f t="shared" si="12"/>
        <v>0</v>
      </c>
      <c r="W13" s="748">
        <f t="shared" si="12"/>
        <v>0</v>
      </c>
      <c r="X13" s="748">
        <f t="shared" si="12"/>
        <v>0</v>
      </c>
      <c r="Y13" s="748">
        <f t="shared" si="12"/>
        <v>0</v>
      </c>
      <c r="Z13" s="748">
        <f t="shared" si="12"/>
        <v>0</v>
      </c>
      <c r="AA13" s="748">
        <f t="shared" si="12"/>
        <v>0</v>
      </c>
      <c r="AB13" s="748">
        <f t="shared" si="12"/>
        <v>0</v>
      </c>
      <c r="AC13" s="748">
        <f t="shared" si="12"/>
        <v>0</v>
      </c>
      <c r="AD13" s="748">
        <f t="shared" si="12"/>
        <v>0</v>
      </c>
      <c r="AE13" s="748">
        <f t="shared" si="12"/>
        <v>0</v>
      </c>
      <c r="AF13" s="748">
        <f t="shared" si="12"/>
        <v>0</v>
      </c>
      <c r="AG13" s="748">
        <f t="shared" si="12"/>
        <v>0</v>
      </c>
      <c r="AH13" s="748">
        <f t="shared" si="12"/>
        <v>0</v>
      </c>
      <c r="AI13" s="748">
        <f t="shared" si="12"/>
        <v>0</v>
      </c>
      <c r="AJ13" s="748">
        <f t="shared" si="12"/>
        <v>0</v>
      </c>
      <c r="AK13" s="748">
        <f t="shared" si="12"/>
        <v>0</v>
      </c>
      <c r="AL13" s="748">
        <f t="shared" si="12"/>
        <v>0</v>
      </c>
      <c r="AM13" s="748">
        <f t="shared" si="12"/>
        <v>0</v>
      </c>
      <c r="AN13" s="748">
        <f t="shared" si="12"/>
        <v>0</v>
      </c>
      <c r="AO13" s="748">
        <f t="shared" si="12"/>
        <v>0</v>
      </c>
      <c r="AP13" s="748">
        <f t="shared" si="12"/>
        <v>0</v>
      </c>
      <c r="AQ13" s="748">
        <f t="shared" si="12"/>
        <v>0</v>
      </c>
      <c r="AR13" s="748">
        <f t="shared" si="12"/>
        <v>0</v>
      </c>
      <c r="AS13" s="748">
        <f t="shared" si="12"/>
        <v>0</v>
      </c>
      <c r="AT13" s="748">
        <f t="shared" si="12"/>
        <v>1700000000</v>
      </c>
      <c r="AU13" s="748">
        <f t="shared" si="12"/>
        <v>1700000000</v>
      </c>
      <c r="AV13" s="748">
        <f t="shared" si="12"/>
        <v>1700000000</v>
      </c>
      <c r="AW13" s="748">
        <f t="shared" si="12"/>
        <v>1700000000</v>
      </c>
      <c r="AX13" s="748">
        <f t="shared" si="12"/>
        <v>0</v>
      </c>
      <c r="AY13" s="748">
        <f t="shared" si="12"/>
        <v>0</v>
      </c>
      <c r="AZ13" s="748">
        <f t="shared" si="12"/>
        <v>0</v>
      </c>
      <c r="BA13" s="748">
        <f t="shared" si="12"/>
        <v>0</v>
      </c>
      <c r="BB13" s="748">
        <f t="shared" si="12"/>
        <v>0</v>
      </c>
      <c r="BC13" s="748">
        <f t="shared" si="12"/>
        <v>0</v>
      </c>
      <c r="BD13" s="748">
        <f t="shared" si="12"/>
        <v>0</v>
      </c>
      <c r="BE13" s="748">
        <f t="shared" si="12"/>
        <v>0</v>
      </c>
      <c r="BF13" s="748">
        <f t="shared" si="12"/>
        <v>20000000</v>
      </c>
      <c r="BG13" s="748">
        <f t="shared" si="12"/>
        <v>20000000</v>
      </c>
      <c r="BH13" s="748">
        <f t="shared" si="12"/>
        <v>20000000</v>
      </c>
      <c r="BI13" s="748">
        <f t="shared" si="12"/>
        <v>20000000</v>
      </c>
      <c r="BJ13" s="748">
        <f t="shared" si="12"/>
        <v>0</v>
      </c>
      <c r="BK13" s="748">
        <f t="shared" si="12"/>
        <v>0</v>
      </c>
      <c r="BL13" s="748">
        <f t="shared" si="12"/>
        <v>0</v>
      </c>
      <c r="BM13" s="748">
        <f t="shared" si="12"/>
        <v>0</v>
      </c>
      <c r="BN13" s="748">
        <f t="shared" si="12"/>
        <v>0</v>
      </c>
      <c r="BO13" s="748">
        <f t="shared" si="12"/>
        <v>0</v>
      </c>
      <c r="BP13" s="748">
        <f t="shared" si="12"/>
        <v>0</v>
      </c>
      <c r="BQ13" s="748">
        <f t="shared" si="12"/>
        <v>0</v>
      </c>
      <c r="BR13" s="748">
        <f t="shared" si="12"/>
        <v>1400000000</v>
      </c>
      <c r="BS13" s="748">
        <f t="shared" si="12"/>
        <v>1400000000</v>
      </c>
      <c r="BT13" s="748">
        <f t="shared" ref="BT13:CC13" si="13">+SUM(BT14:BT16)</f>
        <v>404909576.13999999</v>
      </c>
      <c r="BU13" s="748">
        <f t="shared" si="13"/>
        <v>404909576.13999999</v>
      </c>
      <c r="BV13" s="748">
        <f t="shared" si="13"/>
        <v>0</v>
      </c>
      <c r="BW13" s="748">
        <f t="shared" si="13"/>
        <v>0</v>
      </c>
      <c r="BX13" s="748">
        <f t="shared" si="13"/>
        <v>0</v>
      </c>
      <c r="BY13" s="748">
        <f t="shared" si="13"/>
        <v>0</v>
      </c>
      <c r="BZ13" s="748">
        <f t="shared" si="13"/>
        <v>100000000</v>
      </c>
      <c r="CA13" s="748">
        <f t="shared" si="13"/>
        <v>95232151.760000005</v>
      </c>
      <c r="CB13" s="748">
        <f t="shared" si="13"/>
        <v>0</v>
      </c>
      <c r="CC13" s="748">
        <f t="shared" si="13"/>
        <v>0</v>
      </c>
      <c r="CD13" s="699">
        <f t="shared" si="7"/>
        <v>14263000000</v>
      </c>
      <c r="CE13" s="699">
        <f>+SUM(CE14:CE16)</f>
        <v>14258232151.76</v>
      </c>
      <c r="CF13" s="699">
        <f>200800000+'Anexo 5.2. infor Gastos mesa 55'!AA56</f>
        <v>2124909576</v>
      </c>
      <c r="CG13" s="699">
        <f>200800000+'Anexo 5.2. infor Gastos mesa 55'!AB56</f>
        <v>2124909576</v>
      </c>
      <c r="CH13" s="700"/>
      <c r="CI13" s="758">
        <f t="shared" si="3"/>
        <v>0</v>
      </c>
      <c r="CJ13" s="399"/>
      <c r="CK13" s="399"/>
      <c r="CL13" s="399"/>
      <c r="CM13" s="399"/>
      <c r="CN13" s="399"/>
      <c r="CO13" s="399"/>
      <c r="CP13" s="399"/>
      <c r="CQ13" s="399"/>
      <c r="CR13" s="399"/>
      <c r="CS13" s="399"/>
      <c r="CT13" s="399"/>
      <c r="CU13" s="399"/>
      <c r="CV13" s="399"/>
    </row>
    <row r="14" spans="1:100" ht="52.5" thickTop="1" thickBot="1" x14ac:dyDescent="0.3">
      <c r="H14" s="686" t="s">
        <v>2284</v>
      </c>
      <c r="I14" s="1046">
        <v>14163000000</v>
      </c>
      <c r="J14" s="687">
        <v>11043000000</v>
      </c>
      <c r="K14" s="687">
        <v>11043000000</v>
      </c>
      <c r="L14" s="687">
        <v>0</v>
      </c>
      <c r="M14" s="687">
        <v>0</v>
      </c>
      <c r="N14" s="687"/>
      <c r="O14" s="687"/>
      <c r="P14" s="687"/>
      <c r="Q14" s="687"/>
      <c r="R14" s="687"/>
      <c r="S14" s="687"/>
      <c r="T14" s="68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c r="AT14" s="687">
        <v>1700000000</v>
      </c>
      <c r="AU14" s="687">
        <v>1700000000</v>
      </c>
      <c r="AV14" s="687">
        <v>1700000000</v>
      </c>
      <c r="AW14" s="687">
        <v>1700000000</v>
      </c>
      <c r="AX14" s="687"/>
      <c r="AY14" s="687"/>
      <c r="AZ14" s="687"/>
      <c r="BA14" s="687"/>
      <c r="BB14" s="687"/>
      <c r="BC14" s="687"/>
      <c r="BD14" s="687"/>
      <c r="BE14" s="687"/>
      <c r="BF14" s="687">
        <v>20000000</v>
      </c>
      <c r="BG14" s="687">
        <v>20000000</v>
      </c>
      <c r="BH14" s="687">
        <v>20000000</v>
      </c>
      <c r="BI14" s="687">
        <v>20000000</v>
      </c>
      <c r="BJ14" s="687"/>
      <c r="BK14" s="687"/>
      <c r="BL14" s="687"/>
      <c r="BM14" s="687"/>
      <c r="BN14" s="687"/>
      <c r="BQ14" s="687"/>
      <c r="BR14" s="687">
        <v>1400000000</v>
      </c>
      <c r="BS14" s="687">
        <v>1400000000</v>
      </c>
      <c r="BT14" s="1182">
        <v>404909576.13999999</v>
      </c>
      <c r="BU14" s="687">
        <v>404909576.13999999</v>
      </c>
      <c r="BV14" s="687"/>
      <c r="BW14" s="687"/>
      <c r="BX14" s="687"/>
      <c r="BY14" s="687"/>
      <c r="BZ14" s="687"/>
      <c r="CA14" s="687"/>
      <c r="CB14" s="687"/>
      <c r="CC14" s="687"/>
      <c r="CD14" s="688">
        <f t="shared" si="7"/>
        <v>14163000000</v>
      </c>
      <c r="CE14" s="688">
        <f t="shared" si="7"/>
        <v>14163000000</v>
      </c>
      <c r="CF14" s="687">
        <f>200800000+1924109576.14</f>
        <v>2124909576.1400001</v>
      </c>
      <c r="CG14" s="687">
        <f>+CF14</f>
        <v>2124909576.1400001</v>
      </c>
      <c r="CH14" s="439"/>
      <c r="CI14" s="758">
        <f t="shared" si="3"/>
        <v>0</v>
      </c>
      <c r="CJ14" s="758"/>
      <c r="CK14" s="758"/>
      <c r="CL14" s="399"/>
      <c r="CM14" s="399"/>
      <c r="CN14" s="399"/>
      <c r="CO14" s="399"/>
      <c r="CP14" s="399"/>
      <c r="CQ14" s="399"/>
      <c r="CR14" s="399"/>
      <c r="CS14" s="399"/>
      <c r="CT14" s="399"/>
      <c r="CU14" s="399"/>
      <c r="CV14" s="399"/>
    </row>
    <row r="15" spans="1:100" ht="39.75" thickTop="1" thickBot="1" x14ac:dyDescent="0.3">
      <c r="A15" s="444"/>
      <c r="B15" s="444"/>
      <c r="C15" s="444"/>
      <c r="D15" s="444"/>
      <c r="E15" s="444"/>
      <c r="F15" s="444"/>
      <c r="G15" s="444"/>
      <c r="H15" s="686" t="s">
        <v>2285</v>
      </c>
      <c r="I15" s="1046">
        <v>0</v>
      </c>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7"/>
      <c r="BH15" s="687"/>
      <c r="BI15" s="687"/>
      <c r="BJ15" s="687"/>
      <c r="BK15" s="687"/>
      <c r="BL15" s="687"/>
      <c r="BM15" s="687"/>
      <c r="BN15" s="687"/>
      <c r="BO15" s="687"/>
      <c r="BP15" s="687"/>
      <c r="BQ15" s="687"/>
      <c r="BR15" s="687"/>
      <c r="BS15" s="687"/>
      <c r="BT15" s="687"/>
      <c r="BU15" s="687"/>
      <c r="BV15" s="687"/>
      <c r="BW15" s="687"/>
      <c r="BX15" s="687"/>
      <c r="BY15" s="687"/>
      <c r="BZ15" s="687"/>
      <c r="CA15" s="687"/>
      <c r="CB15" s="687"/>
      <c r="CC15" s="687"/>
      <c r="CD15" s="688">
        <f t="shared" si="7"/>
        <v>0</v>
      </c>
      <c r="CE15" s="688">
        <f t="shared" si="7"/>
        <v>0</v>
      </c>
      <c r="CF15" s="688">
        <f t="shared" ref="CF15" si="14">+L15+P15+T15+X15+AB15+AF15+AJ15+AN15+AR15+AV15+AZ15+BD15+BP15+BT15+CB15</f>
        <v>0</v>
      </c>
      <c r="CG15" s="688">
        <f>+M15+Q15+U15+Y15+AC15+AG15+AK15+AO15+AS15+AW15+BA15+BE15+BQ15+BU15+CC15</f>
        <v>0</v>
      </c>
      <c r="CH15" s="740"/>
      <c r="CI15" s="758">
        <f t="shared" si="3"/>
        <v>0</v>
      </c>
    </row>
    <row r="16" spans="1:100" ht="39.75" thickTop="1" thickBot="1" x14ac:dyDescent="0.3">
      <c r="A16" s="444"/>
      <c r="B16" s="444"/>
      <c r="C16" s="444"/>
      <c r="D16" s="444"/>
      <c r="E16" s="444"/>
      <c r="F16" s="444"/>
      <c r="G16" s="444"/>
      <c r="H16" s="1183" t="s">
        <v>2288</v>
      </c>
      <c r="I16" s="1046">
        <v>100000000</v>
      </c>
      <c r="J16" s="687"/>
      <c r="K16" s="687"/>
      <c r="L16" s="687"/>
      <c r="M16" s="687"/>
      <c r="N16" s="687"/>
      <c r="O16" s="687"/>
      <c r="P16" s="687"/>
      <c r="Q16" s="687"/>
      <c r="R16" s="687"/>
      <c r="S16" s="687"/>
      <c r="T16" s="68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7"/>
      <c r="BG16" s="687"/>
      <c r="BH16" s="687"/>
      <c r="BI16" s="687"/>
      <c r="BJ16" s="687"/>
      <c r="BK16" s="687"/>
      <c r="BL16" s="687"/>
      <c r="BM16" s="687"/>
      <c r="BN16" s="687"/>
      <c r="BO16" s="687"/>
      <c r="BP16" s="687"/>
      <c r="BQ16" s="687"/>
      <c r="BR16" s="687"/>
      <c r="BS16" s="687"/>
      <c r="BT16" s="687"/>
      <c r="BU16" s="687"/>
      <c r="BV16" s="687"/>
      <c r="BW16" s="687"/>
      <c r="BX16" s="687"/>
      <c r="BY16" s="687"/>
      <c r="BZ16" s="687">
        <v>100000000</v>
      </c>
      <c r="CA16" s="687">
        <v>95232151.760000005</v>
      </c>
      <c r="CB16" s="687">
        <v>0</v>
      </c>
      <c r="CC16" s="687">
        <v>0</v>
      </c>
      <c r="CD16" s="688">
        <f t="shared" si="7"/>
        <v>100000000</v>
      </c>
      <c r="CE16" s="688">
        <f t="shared" si="7"/>
        <v>95232151.760000005</v>
      </c>
      <c r="CF16" s="688">
        <v>0</v>
      </c>
      <c r="CG16" s="688">
        <v>0</v>
      </c>
      <c r="CH16" s="740"/>
      <c r="CI16" s="758">
        <f t="shared" si="3"/>
        <v>0</v>
      </c>
    </row>
    <row r="17" spans="1:100" ht="16.5" thickTop="1" thickBot="1" x14ac:dyDescent="0.3">
      <c r="A17" s="701"/>
      <c r="B17" s="701"/>
      <c r="C17" s="701"/>
      <c r="D17" s="701"/>
      <c r="E17" s="701"/>
      <c r="F17" s="701"/>
      <c r="G17" s="702"/>
      <c r="H17" s="684" t="s">
        <v>2154</v>
      </c>
      <c r="I17" s="747">
        <f t="shared" ref="I17:BS17" si="15">+SUM(I18:I19)</f>
        <v>813000000</v>
      </c>
      <c r="J17" s="747">
        <f t="shared" si="15"/>
        <v>113000000</v>
      </c>
      <c r="K17" s="747">
        <f t="shared" si="15"/>
        <v>108256787.90000001</v>
      </c>
      <c r="L17" s="747">
        <f t="shared" si="15"/>
        <v>0</v>
      </c>
      <c r="M17" s="747">
        <f t="shared" si="15"/>
        <v>0</v>
      </c>
      <c r="N17" s="747">
        <f t="shared" si="15"/>
        <v>0</v>
      </c>
      <c r="O17" s="747">
        <f t="shared" si="15"/>
        <v>0</v>
      </c>
      <c r="P17" s="747">
        <f t="shared" si="15"/>
        <v>0</v>
      </c>
      <c r="Q17" s="747">
        <f t="shared" si="15"/>
        <v>0</v>
      </c>
      <c r="R17" s="747">
        <f t="shared" si="15"/>
        <v>700000000</v>
      </c>
      <c r="S17" s="747">
        <f t="shared" si="15"/>
        <v>700000000</v>
      </c>
      <c r="T17" s="747">
        <f t="shared" si="15"/>
        <v>0</v>
      </c>
      <c r="U17" s="747">
        <f t="shared" si="15"/>
        <v>0</v>
      </c>
      <c r="V17" s="747">
        <f t="shared" si="15"/>
        <v>0</v>
      </c>
      <c r="W17" s="747">
        <f t="shared" si="15"/>
        <v>0</v>
      </c>
      <c r="X17" s="747">
        <f t="shared" si="15"/>
        <v>0</v>
      </c>
      <c r="Y17" s="747">
        <f t="shared" si="15"/>
        <v>0</v>
      </c>
      <c r="Z17" s="747">
        <f t="shared" si="15"/>
        <v>0</v>
      </c>
      <c r="AA17" s="747">
        <f t="shared" si="15"/>
        <v>0</v>
      </c>
      <c r="AB17" s="747">
        <f t="shared" si="15"/>
        <v>0</v>
      </c>
      <c r="AC17" s="747">
        <f t="shared" si="15"/>
        <v>0</v>
      </c>
      <c r="AD17" s="747">
        <f t="shared" si="15"/>
        <v>0</v>
      </c>
      <c r="AE17" s="747">
        <f t="shared" si="15"/>
        <v>0</v>
      </c>
      <c r="AF17" s="747">
        <f t="shared" si="15"/>
        <v>0</v>
      </c>
      <c r="AG17" s="747">
        <f t="shared" si="15"/>
        <v>0</v>
      </c>
      <c r="AH17" s="747">
        <f t="shared" si="15"/>
        <v>0</v>
      </c>
      <c r="AI17" s="747">
        <f t="shared" si="15"/>
        <v>0</v>
      </c>
      <c r="AJ17" s="747">
        <f t="shared" si="15"/>
        <v>0</v>
      </c>
      <c r="AK17" s="747">
        <f t="shared" si="15"/>
        <v>0</v>
      </c>
      <c r="AL17" s="747">
        <f t="shared" si="15"/>
        <v>0</v>
      </c>
      <c r="AM17" s="747">
        <f t="shared" si="15"/>
        <v>0</v>
      </c>
      <c r="AN17" s="747">
        <f t="shared" si="15"/>
        <v>0</v>
      </c>
      <c r="AO17" s="747">
        <f t="shared" si="15"/>
        <v>0</v>
      </c>
      <c r="AP17" s="747">
        <f t="shared" si="15"/>
        <v>0</v>
      </c>
      <c r="AQ17" s="747">
        <f t="shared" si="15"/>
        <v>0</v>
      </c>
      <c r="AR17" s="747">
        <f t="shared" si="15"/>
        <v>0</v>
      </c>
      <c r="AS17" s="747">
        <f t="shared" si="15"/>
        <v>0</v>
      </c>
      <c r="AT17" s="747">
        <f t="shared" si="15"/>
        <v>0</v>
      </c>
      <c r="AU17" s="747">
        <f t="shared" si="15"/>
        <v>0</v>
      </c>
      <c r="AV17" s="747">
        <f t="shared" si="15"/>
        <v>0</v>
      </c>
      <c r="AW17" s="747">
        <f t="shared" si="15"/>
        <v>0</v>
      </c>
      <c r="AX17" s="747">
        <f t="shared" si="15"/>
        <v>0</v>
      </c>
      <c r="AY17" s="747">
        <f t="shared" si="15"/>
        <v>0</v>
      </c>
      <c r="AZ17" s="747">
        <f t="shared" si="15"/>
        <v>0</v>
      </c>
      <c r="BA17" s="747">
        <f t="shared" si="15"/>
        <v>0</v>
      </c>
      <c r="BB17" s="747">
        <f t="shared" si="15"/>
        <v>0</v>
      </c>
      <c r="BC17" s="747">
        <f t="shared" si="15"/>
        <v>0</v>
      </c>
      <c r="BD17" s="747">
        <f t="shared" si="15"/>
        <v>0</v>
      </c>
      <c r="BE17" s="747">
        <f t="shared" si="15"/>
        <v>0</v>
      </c>
      <c r="BF17" s="747">
        <f t="shared" si="15"/>
        <v>0</v>
      </c>
      <c r="BG17" s="747">
        <f t="shared" si="15"/>
        <v>0</v>
      </c>
      <c r="BH17" s="747">
        <f t="shared" si="15"/>
        <v>0</v>
      </c>
      <c r="BI17" s="747">
        <f t="shared" si="15"/>
        <v>0</v>
      </c>
      <c r="BJ17" s="747">
        <f t="shared" si="15"/>
        <v>0</v>
      </c>
      <c r="BK17" s="747">
        <f t="shared" si="15"/>
        <v>0</v>
      </c>
      <c r="BL17" s="747">
        <f t="shared" si="15"/>
        <v>0</v>
      </c>
      <c r="BM17" s="747">
        <f t="shared" si="15"/>
        <v>0</v>
      </c>
      <c r="BN17" s="747">
        <f t="shared" si="15"/>
        <v>0</v>
      </c>
      <c r="BO17" s="747">
        <f t="shared" si="15"/>
        <v>0</v>
      </c>
      <c r="BP17" s="747">
        <f t="shared" si="15"/>
        <v>0</v>
      </c>
      <c r="BQ17" s="747">
        <f t="shared" si="15"/>
        <v>0</v>
      </c>
      <c r="BR17" s="747">
        <f t="shared" si="15"/>
        <v>0</v>
      </c>
      <c r="BS17" s="747">
        <f t="shared" si="15"/>
        <v>0</v>
      </c>
      <c r="BT17" s="747">
        <f t="shared" ref="BT17:CC17" si="16">+SUM(BT18:BT19)</f>
        <v>0</v>
      </c>
      <c r="BU17" s="747">
        <f t="shared" si="16"/>
        <v>0</v>
      </c>
      <c r="BV17" s="747">
        <f t="shared" si="16"/>
        <v>0</v>
      </c>
      <c r="BW17" s="747">
        <f t="shared" si="16"/>
        <v>0</v>
      </c>
      <c r="BX17" s="747">
        <f t="shared" si="16"/>
        <v>0</v>
      </c>
      <c r="BY17" s="747">
        <f t="shared" si="16"/>
        <v>0</v>
      </c>
      <c r="BZ17" s="747">
        <f t="shared" si="16"/>
        <v>0</v>
      </c>
      <c r="CA17" s="747">
        <f t="shared" si="16"/>
        <v>0</v>
      </c>
      <c r="CB17" s="747">
        <f t="shared" si="16"/>
        <v>0</v>
      </c>
      <c r="CC17" s="747">
        <f t="shared" si="16"/>
        <v>0</v>
      </c>
      <c r="CD17" s="703">
        <f t="shared" si="7"/>
        <v>813000000</v>
      </c>
      <c r="CE17" s="703">
        <f>+K17+O17+S17+W17+AA17+AE17+AI17+AM17+AQ17+AU17+AY17+BC17+BO17+BS17+CA17</f>
        <v>808256787.89999998</v>
      </c>
      <c r="CF17" s="703">
        <f>+'Anexo 5.2. infor Gastos mesa 55'!AA54</f>
        <v>0</v>
      </c>
      <c r="CG17" s="703">
        <f>+'Anexo 5.2. infor Gastos mesa 55'!AB54</f>
        <v>0</v>
      </c>
      <c r="CH17" s="700"/>
      <c r="CI17" s="758">
        <f t="shared" si="3"/>
        <v>0</v>
      </c>
      <c r="CJ17" s="399"/>
      <c r="CK17" s="399"/>
      <c r="CL17" s="399"/>
      <c r="CM17" s="399"/>
      <c r="CN17" s="399"/>
      <c r="CO17" s="399"/>
      <c r="CP17" s="399"/>
      <c r="CQ17" s="399"/>
      <c r="CR17" s="399"/>
      <c r="CS17" s="399"/>
      <c r="CT17" s="399"/>
      <c r="CU17" s="399"/>
      <c r="CV17" s="399"/>
    </row>
    <row r="18" spans="1:100" ht="65.25" thickTop="1" thickBot="1" x14ac:dyDescent="0.3">
      <c r="A18" s="1184"/>
      <c r="B18" s="1184"/>
      <c r="C18" s="1184"/>
      <c r="D18" s="1184"/>
      <c r="E18" s="444"/>
      <c r="F18" s="444"/>
      <c r="G18" s="444"/>
      <c r="H18" s="686" t="s">
        <v>2290</v>
      </c>
      <c r="I18" s="1046">
        <v>406500000</v>
      </c>
      <c r="J18" s="687">
        <v>56500000</v>
      </c>
      <c r="K18" s="687">
        <v>54128393.950000003</v>
      </c>
      <c r="L18" s="687">
        <v>0</v>
      </c>
      <c r="M18" s="687">
        <v>0</v>
      </c>
      <c r="N18" s="687"/>
      <c r="O18" s="687"/>
      <c r="P18" s="687"/>
      <c r="Q18" s="687"/>
      <c r="R18" s="687">
        <v>350000000</v>
      </c>
      <c r="S18" s="687">
        <v>350000000</v>
      </c>
      <c r="T18" s="687">
        <v>0</v>
      </c>
      <c r="U18" s="687">
        <v>0</v>
      </c>
      <c r="V18" s="687"/>
      <c r="W18" s="687"/>
      <c r="X18" s="687"/>
      <c r="Y18" s="687"/>
      <c r="Z18" s="687"/>
      <c r="AA18" s="687"/>
      <c r="AB18" s="687"/>
      <c r="AC18" s="687"/>
      <c r="AD18" s="687"/>
      <c r="AE18" s="687"/>
      <c r="AF18" s="687"/>
      <c r="AG18" s="687"/>
      <c r="AH18" s="687"/>
      <c r="AI18" s="687"/>
      <c r="AJ18" s="687"/>
      <c r="AK18" s="687"/>
      <c r="AL18" s="687"/>
      <c r="AM18" s="687"/>
      <c r="AN18" s="687"/>
      <c r="AO18" s="687"/>
      <c r="AP18" s="687"/>
      <c r="AQ18" s="687"/>
      <c r="AR18" s="687"/>
      <c r="AS18" s="687"/>
      <c r="AT18" s="687"/>
      <c r="AU18" s="687"/>
      <c r="AV18" s="687"/>
      <c r="AW18" s="687"/>
      <c r="AX18" s="687"/>
      <c r="AY18" s="687"/>
      <c r="AZ18" s="687"/>
      <c r="BA18" s="687"/>
      <c r="BB18" s="687"/>
      <c r="BC18" s="687"/>
      <c r="BD18" s="687"/>
      <c r="BE18" s="687"/>
      <c r="BF18" s="687"/>
      <c r="BG18" s="687"/>
      <c r="BH18" s="687"/>
      <c r="BI18" s="687"/>
      <c r="BJ18" s="687"/>
      <c r="BK18" s="687"/>
      <c r="BL18" s="687"/>
      <c r="BM18" s="687"/>
      <c r="BN18" s="687"/>
      <c r="BO18" s="687"/>
      <c r="BP18" s="687"/>
      <c r="BQ18" s="687"/>
      <c r="BR18" s="687"/>
      <c r="BS18" s="687"/>
      <c r="BT18" s="687"/>
      <c r="BU18" s="687"/>
      <c r="BV18" s="687"/>
      <c r="BW18" s="687"/>
      <c r="BX18" s="687"/>
      <c r="BY18" s="687"/>
      <c r="BZ18" s="687"/>
      <c r="CA18" s="687"/>
      <c r="CB18" s="687"/>
      <c r="CC18" s="687"/>
      <c r="CD18" s="688">
        <f t="shared" si="7"/>
        <v>406500000</v>
      </c>
      <c r="CE18" s="688">
        <f t="shared" si="7"/>
        <v>404128393.94999999</v>
      </c>
      <c r="CF18" s="1194"/>
      <c r="CG18" s="1194"/>
      <c r="CH18" s="439"/>
      <c r="CI18" s="758">
        <f t="shared" si="3"/>
        <v>0</v>
      </c>
    </row>
    <row r="19" spans="1:100" ht="65.25" thickTop="1" thickBot="1" x14ac:dyDescent="0.3">
      <c r="A19" s="444"/>
      <c r="B19" s="444"/>
      <c r="C19" s="446"/>
      <c r="D19" s="446"/>
      <c r="E19" s="445"/>
      <c r="F19" s="445"/>
      <c r="G19" s="444"/>
      <c r="H19" s="686" t="s">
        <v>2293</v>
      </c>
      <c r="I19" s="1046">
        <v>406500000</v>
      </c>
      <c r="J19" s="687">
        <v>56500000</v>
      </c>
      <c r="K19" s="687">
        <v>54128393.950000003</v>
      </c>
      <c r="L19" s="687">
        <v>0</v>
      </c>
      <c r="M19" s="687">
        <v>0</v>
      </c>
      <c r="N19" s="687"/>
      <c r="O19" s="687"/>
      <c r="P19" s="687"/>
      <c r="Q19" s="687"/>
      <c r="R19" s="687">
        <v>350000000</v>
      </c>
      <c r="S19" s="687">
        <v>350000000</v>
      </c>
      <c r="T19" s="687">
        <v>0</v>
      </c>
      <c r="U19" s="687">
        <v>0</v>
      </c>
      <c r="V19" s="687"/>
      <c r="W19" s="687"/>
      <c r="X19" s="687"/>
      <c r="Y19" s="687"/>
      <c r="Z19" s="687"/>
      <c r="AA19" s="687"/>
      <c r="AB19" s="687"/>
      <c r="AC19" s="687"/>
      <c r="AD19" s="687"/>
      <c r="AE19" s="687"/>
      <c r="AF19" s="687"/>
      <c r="AG19" s="687"/>
      <c r="AH19" s="687"/>
      <c r="AI19" s="687"/>
      <c r="AJ19" s="687"/>
      <c r="AK19" s="687"/>
      <c r="AL19" s="687"/>
      <c r="AM19" s="687"/>
      <c r="AN19" s="687"/>
      <c r="AO19" s="687"/>
      <c r="AP19" s="687"/>
      <c r="AQ19" s="687"/>
      <c r="AR19" s="687"/>
      <c r="AS19" s="687"/>
      <c r="AT19" s="687"/>
      <c r="AU19" s="687"/>
      <c r="AV19" s="687"/>
      <c r="AW19" s="687"/>
      <c r="AX19" s="687"/>
      <c r="AY19" s="687"/>
      <c r="AZ19" s="687"/>
      <c r="BA19" s="687"/>
      <c r="BB19" s="687"/>
      <c r="BC19" s="687"/>
      <c r="BD19" s="687"/>
      <c r="BE19" s="687"/>
      <c r="BF19" s="687"/>
      <c r="BG19" s="687"/>
      <c r="BH19" s="687"/>
      <c r="BI19" s="687"/>
      <c r="BJ19" s="687"/>
      <c r="BK19" s="687"/>
      <c r="BL19" s="687"/>
      <c r="BM19" s="687"/>
      <c r="BN19" s="687"/>
      <c r="BO19" s="687"/>
      <c r="BP19" s="687"/>
      <c r="BQ19" s="687"/>
      <c r="BR19" s="687"/>
      <c r="BS19" s="687"/>
      <c r="BT19" s="687"/>
      <c r="BU19" s="687"/>
      <c r="BV19" s="687"/>
      <c r="BW19" s="687"/>
      <c r="BX19" s="687"/>
      <c r="BY19" s="687"/>
      <c r="BZ19" s="687"/>
      <c r="CA19" s="687"/>
      <c r="CB19" s="687"/>
      <c r="CC19" s="687"/>
      <c r="CD19" s="688">
        <f t="shared" si="7"/>
        <v>406500000</v>
      </c>
      <c r="CE19" s="688">
        <f t="shared" si="7"/>
        <v>404128393.94999999</v>
      </c>
      <c r="CF19" s="1194"/>
      <c r="CG19" s="1194"/>
      <c r="CH19" s="439"/>
      <c r="CI19" s="758">
        <f t="shared" si="3"/>
        <v>0</v>
      </c>
    </row>
    <row r="20" spans="1:100" ht="27" thickTop="1" thickBot="1" x14ac:dyDescent="0.3">
      <c r="A20" s="718"/>
      <c r="B20" s="718"/>
      <c r="C20" s="718"/>
      <c r="D20" s="718"/>
      <c r="E20" s="718"/>
      <c r="F20" s="718"/>
      <c r="G20" s="718"/>
      <c r="H20" s="708" t="s">
        <v>2235</v>
      </c>
      <c r="I20" s="752">
        <f t="shared" ref="I20:BS20" si="17">+I21</f>
        <v>170000000</v>
      </c>
      <c r="J20" s="752">
        <f t="shared" si="17"/>
        <v>100000000</v>
      </c>
      <c r="K20" s="752">
        <f t="shared" si="17"/>
        <v>100000000</v>
      </c>
      <c r="L20" s="752">
        <f t="shared" si="17"/>
        <v>65260000</v>
      </c>
      <c r="M20" s="752">
        <f t="shared" si="17"/>
        <v>65260000</v>
      </c>
      <c r="N20" s="752">
        <f t="shared" si="17"/>
        <v>0</v>
      </c>
      <c r="O20" s="752">
        <f t="shared" si="17"/>
        <v>0</v>
      </c>
      <c r="P20" s="752">
        <f t="shared" si="17"/>
        <v>0</v>
      </c>
      <c r="Q20" s="752">
        <f t="shared" si="17"/>
        <v>0</v>
      </c>
      <c r="R20" s="752">
        <f t="shared" si="17"/>
        <v>0</v>
      </c>
      <c r="S20" s="752">
        <f t="shared" si="17"/>
        <v>0</v>
      </c>
      <c r="T20" s="752">
        <f t="shared" si="17"/>
        <v>0</v>
      </c>
      <c r="U20" s="752">
        <f t="shared" si="17"/>
        <v>0</v>
      </c>
      <c r="V20" s="752">
        <f t="shared" si="17"/>
        <v>0</v>
      </c>
      <c r="W20" s="752">
        <f t="shared" si="17"/>
        <v>0</v>
      </c>
      <c r="X20" s="752">
        <f t="shared" si="17"/>
        <v>0</v>
      </c>
      <c r="Y20" s="752">
        <f t="shared" si="17"/>
        <v>0</v>
      </c>
      <c r="Z20" s="752">
        <f t="shared" si="17"/>
        <v>0</v>
      </c>
      <c r="AA20" s="752">
        <f t="shared" si="17"/>
        <v>0</v>
      </c>
      <c r="AB20" s="752">
        <f t="shared" si="17"/>
        <v>0</v>
      </c>
      <c r="AC20" s="752">
        <f t="shared" si="17"/>
        <v>0</v>
      </c>
      <c r="AD20" s="752">
        <f t="shared" si="17"/>
        <v>0</v>
      </c>
      <c r="AE20" s="752">
        <f t="shared" si="17"/>
        <v>0</v>
      </c>
      <c r="AF20" s="752">
        <f t="shared" si="17"/>
        <v>0</v>
      </c>
      <c r="AG20" s="752">
        <f t="shared" si="17"/>
        <v>0</v>
      </c>
      <c r="AH20" s="752">
        <f t="shared" si="17"/>
        <v>0</v>
      </c>
      <c r="AI20" s="752">
        <f t="shared" si="17"/>
        <v>0</v>
      </c>
      <c r="AJ20" s="752">
        <f t="shared" si="17"/>
        <v>0</v>
      </c>
      <c r="AK20" s="752">
        <f t="shared" si="17"/>
        <v>0</v>
      </c>
      <c r="AL20" s="752">
        <f t="shared" si="17"/>
        <v>0</v>
      </c>
      <c r="AM20" s="752">
        <f t="shared" si="17"/>
        <v>0</v>
      </c>
      <c r="AN20" s="752">
        <f t="shared" si="17"/>
        <v>0</v>
      </c>
      <c r="AO20" s="752">
        <f t="shared" si="17"/>
        <v>0</v>
      </c>
      <c r="AP20" s="752">
        <f t="shared" si="17"/>
        <v>0</v>
      </c>
      <c r="AQ20" s="752">
        <f t="shared" si="17"/>
        <v>0</v>
      </c>
      <c r="AR20" s="752">
        <f t="shared" si="17"/>
        <v>0</v>
      </c>
      <c r="AS20" s="752">
        <f t="shared" si="17"/>
        <v>0</v>
      </c>
      <c r="AT20" s="752">
        <f t="shared" si="17"/>
        <v>0</v>
      </c>
      <c r="AU20" s="752">
        <f t="shared" si="17"/>
        <v>0</v>
      </c>
      <c r="AV20" s="752">
        <f t="shared" si="17"/>
        <v>0</v>
      </c>
      <c r="AW20" s="752">
        <f t="shared" si="17"/>
        <v>0</v>
      </c>
      <c r="AX20" s="752">
        <f t="shared" si="17"/>
        <v>0</v>
      </c>
      <c r="AY20" s="752">
        <f t="shared" si="17"/>
        <v>0</v>
      </c>
      <c r="AZ20" s="752">
        <f t="shared" si="17"/>
        <v>0</v>
      </c>
      <c r="BA20" s="752">
        <f t="shared" si="17"/>
        <v>0</v>
      </c>
      <c r="BB20" s="752">
        <f t="shared" si="17"/>
        <v>0</v>
      </c>
      <c r="BC20" s="752">
        <f t="shared" si="17"/>
        <v>0</v>
      </c>
      <c r="BD20" s="752">
        <f t="shared" si="17"/>
        <v>0</v>
      </c>
      <c r="BE20" s="752">
        <f t="shared" si="17"/>
        <v>0</v>
      </c>
      <c r="BF20" s="752">
        <f t="shared" si="17"/>
        <v>0</v>
      </c>
      <c r="BG20" s="752">
        <f t="shared" si="17"/>
        <v>0</v>
      </c>
      <c r="BH20" s="752">
        <f t="shared" si="17"/>
        <v>0</v>
      </c>
      <c r="BI20" s="752">
        <f t="shared" si="17"/>
        <v>0</v>
      </c>
      <c r="BJ20" s="752">
        <f t="shared" si="17"/>
        <v>0</v>
      </c>
      <c r="BK20" s="752">
        <f t="shared" si="17"/>
        <v>0</v>
      </c>
      <c r="BL20" s="752">
        <f t="shared" si="17"/>
        <v>0</v>
      </c>
      <c r="BM20" s="752">
        <f t="shared" si="17"/>
        <v>0</v>
      </c>
      <c r="BN20" s="752">
        <f t="shared" si="17"/>
        <v>0</v>
      </c>
      <c r="BO20" s="752">
        <f t="shared" si="17"/>
        <v>0</v>
      </c>
      <c r="BP20" s="752">
        <f t="shared" si="17"/>
        <v>0</v>
      </c>
      <c r="BQ20" s="752">
        <f t="shared" si="17"/>
        <v>0</v>
      </c>
      <c r="BR20" s="752">
        <f t="shared" si="17"/>
        <v>20000000</v>
      </c>
      <c r="BS20" s="752">
        <f t="shared" si="17"/>
        <v>15660000</v>
      </c>
      <c r="BT20" s="752">
        <f t="shared" ref="BT20:CC20" si="18">+BT21</f>
        <v>0</v>
      </c>
      <c r="BU20" s="752">
        <f t="shared" si="18"/>
        <v>0</v>
      </c>
      <c r="BV20" s="752">
        <f t="shared" si="18"/>
        <v>50000000</v>
      </c>
      <c r="BW20" s="752">
        <f t="shared" si="18"/>
        <v>50000000</v>
      </c>
      <c r="BX20" s="752">
        <f t="shared" si="18"/>
        <v>0</v>
      </c>
      <c r="BY20" s="752">
        <f t="shared" si="18"/>
        <v>0</v>
      </c>
      <c r="BZ20" s="752">
        <f t="shared" si="18"/>
        <v>0</v>
      </c>
      <c r="CA20" s="752">
        <f t="shared" si="18"/>
        <v>0</v>
      </c>
      <c r="CB20" s="752">
        <f t="shared" si="18"/>
        <v>0</v>
      </c>
      <c r="CC20" s="752">
        <f t="shared" si="18"/>
        <v>0</v>
      </c>
      <c r="CD20" s="752">
        <f t="shared" si="7"/>
        <v>170000000</v>
      </c>
      <c r="CE20" s="752">
        <f>+CE21</f>
        <v>165660000</v>
      </c>
      <c r="CF20" s="752">
        <f>+CF21</f>
        <v>65260000</v>
      </c>
      <c r="CG20" s="752">
        <f>+CG21</f>
        <v>65260000</v>
      </c>
      <c r="CH20" s="709"/>
      <c r="CI20" s="758">
        <f t="shared" si="3"/>
        <v>0</v>
      </c>
    </row>
    <row r="21" spans="1:100" ht="16.5" thickTop="1" thickBot="1" x14ac:dyDescent="0.3">
      <c r="A21" s="710"/>
      <c r="B21" s="710"/>
      <c r="C21" s="710"/>
      <c r="D21" s="710"/>
      <c r="E21" s="712"/>
      <c r="F21" s="712"/>
      <c r="G21" s="710"/>
      <c r="H21" s="698" t="s">
        <v>2155</v>
      </c>
      <c r="I21" s="748">
        <f t="shared" ref="I21:BS21" si="19">+SUM(I22:I26)</f>
        <v>170000000</v>
      </c>
      <c r="J21" s="748">
        <f t="shared" si="19"/>
        <v>100000000</v>
      </c>
      <c r="K21" s="748">
        <f t="shared" si="19"/>
        <v>100000000</v>
      </c>
      <c r="L21" s="748">
        <f t="shared" si="19"/>
        <v>65260000</v>
      </c>
      <c r="M21" s="748">
        <f t="shared" si="19"/>
        <v>65260000</v>
      </c>
      <c r="N21" s="748">
        <f t="shared" si="19"/>
        <v>0</v>
      </c>
      <c r="O21" s="748">
        <f t="shared" si="19"/>
        <v>0</v>
      </c>
      <c r="P21" s="748">
        <f t="shared" si="19"/>
        <v>0</v>
      </c>
      <c r="Q21" s="748">
        <f t="shared" si="19"/>
        <v>0</v>
      </c>
      <c r="R21" s="748">
        <f t="shared" si="19"/>
        <v>0</v>
      </c>
      <c r="S21" s="748">
        <f t="shared" si="19"/>
        <v>0</v>
      </c>
      <c r="T21" s="748">
        <f t="shared" si="19"/>
        <v>0</v>
      </c>
      <c r="U21" s="748">
        <f t="shared" si="19"/>
        <v>0</v>
      </c>
      <c r="V21" s="748">
        <f t="shared" si="19"/>
        <v>0</v>
      </c>
      <c r="W21" s="748">
        <f t="shared" si="19"/>
        <v>0</v>
      </c>
      <c r="X21" s="748">
        <f t="shared" si="19"/>
        <v>0</v>
      </c>
      <c r="Y21" s="748">
        <f t="shared" si="19"/>
        <v>0</v>
      </c>
      <c r="Z21" s="748">
        <f t="shared" si="19"/>
        <v>0</v>
      </c>
      <c r="AA21" s="748">
        <f t="shared" si="19"/>
        <v>0</v>
      </c>
      <c r="AB21" s="748">
        <f t="shared" si="19"/>
        <v>0</v>
      </c>
      <c r="AC21" s="748">
        <f t="shared" si="19"/>
        <v>0</v>
      </c>
      <c r="AD21" s="748">
        <f t="shared" si="19"/>
        <v>0</v>
      </c>
      <c r="AE21" s="748">
        <f t="shared" si="19"/>
        <v>0</v>
      </c>
      <c r="AF21" s="748">
        <f t="shared" si="19"/>
        <v>0</v>
      </c>
      <c r="AG21" s="748">
        <f t="shared" si="19"/>
        <v>0</v>
      </c>
      <c r="AH21" s="748">
        <f t="shared" si="19"/>
        <v>0</v>
      </c>
      <c r="AI21" s="748">
        <f t="shared" si="19"/>
        <v>0</v>
      </c>
      <c r="AJ21" s="748">
        <f t="shared" si="19"/>
        <v>0</v>
      </c>
      <c r="AK21" s="748">
        <f t="shared" si="19"/>
        <v>0</v>
      </c>
      <c r="AL21" s="748">
        <f t="shared" si="19"/>
        <v>0</v>
      </c>
      <c r="AM21" s="748">
        <f t="shared" si="19"/>
        <v>0</v>
      </c>
      <c r="AN21" s="748">
        <f t="shared" si="19"/>
        <v>0</v>
      </c>
      <c r="AO21" s="748">
        <f t="shared" si="19"/>
        <v>0</v>
      </c>
      <c r="AP21" s="748">
        <f t="shared" si="19"/>
        <v>0</v>
      </c>
      <c r="AQ21" s="748">
        <f t="shared" si="19"/>
        <v>0</v>
      </c>
      <c r="AR21" s="748">
        <f t="shared" si="19"/>
        <v>0</v>
      </c>
      <c r="AS21" s="748">
        <f t="shared" si="19"/>
        <v>0</v>
      </c>
      <c r="AT21" s="748">
        <f t="shared" si="19"/>
        <v>0</v>
      </c>
      <c r="AU21" s="748">
        <f t="shared" si="19"/>
        <v>0</v>
      </c>
      <c r="AV21" s="748">
        <f t="shared" si="19"/>
        <v>0</v>
      </c>
      <c r="AW21" s="748">
        <f t="shared" si="19"/>
        <v>0</v>
      </c>
      <c r="AX21" s="748">
        <f t="shared" si="19"/>
        <v>0</v>
      </c>
      <c r="AY21" s="748">
        <f t="shared" si="19"/>
        <v>0</v>
      </c>
      <c r="AZ21" s="748">
        <f t="shared" si="19"/>
        <v>0</v>
      </c>
      <c r="BA21" s="748">
        <f t="shared" si="19"/>
        <v>0</v>
      </c>
      <c r="BB21" s="748">
        <f t="shared" si="19"/>
        <v>0</v>
      </c>
      <c r="BC21" s="748">
        <f t="shared" si="19"/>
        <v>0</v>
      </c>
      <c r="BD21" s="748">
        <f t="shared" si="19"/>
        <v>0</v>
      </c>
      <c r="BE21" s="748">
        <f t="shared" si="19"/>
        <v>0</v>
      </c>
      <c r="BF21" s="748">
        <f t="shared" si="19"/>
        <v>0</v>
      </c>
      <c r="BG21" s="748">
        <f t="shared" si="19"/>
        <v>0</v>
      </c>
      <c r="BH21" s="748">
        <f t="shared" si="19"/>
        <v>0</v>
      </c>
      <c r="BI21" s="748">
        <f t="shared" si="19"/>
        <v>0</v>
      </c>
      <c r="BJ21" s="748">
        <f t="shared" si="19"/>
        <v>0</v>
      </c>
      <c r="BK21" s="748">
        <f t="shared" si="19"/>
        <v>0</v>
      </c>
      <c r="BL21" s="748">
        <f t="shared" si="19"/>
        <v>0</v>
      </c>
      <c r="BM21" s="748">
        <f t="shared" si="19"/>
        <v>0</v>
      </c>
      <c r="BN21" s="748">
        <f t="shared" si="19"/>
        <v>0</v>
      </c>
      <c r="BO21" s="748">
        <f t="shared" si="19"/>
        <v>0</v>
      </c>
      <c r="BP21" s="748">
        <f t="shared" si="19"/>
        <v>0</v>
      </c>
      <c r="BQ21" s="748">
        <f t="shared" si="19"/>
        <v>0</v>
      </c>
      <c r="BR21" s="748">
        <f t="shared" si="19"/>
        <v>20000000</v>
      </c>
      <c r="BS21" s="748">
        <f t="shared" si="19"/>
        <v>15660000</v>
      </c>
      <c r="BT21" s="748">
        <f t="shared" ref="BT21:CC21" si="20">+SUM(BT22:BT26)</f>
        <v>0</v>
      </c>
      <c r="BU21" s="748">
        <f t="shared" si="20"/>
        <v>0</v>
      </c>
      <c r="BV21" s="748">
        <f t="shared" si="20"/>
        <v>50000000</v>
      </c>
      <c r="BW21" s="748">
        <f t="shared" si="20"/>
        <v>50000000</v>
      </c>
      <c r="BX21" s="748">
        <f t="shared" si="20"/>
        <v>0</v>
      </c>
      <c r="BY21" s="748">
        <f t="shared" si="20"/>
        <v>0</v>
      </c>
      <c r="BZ21" s="748">
        <f t="shared" si="20"/>
        <v>0</v>
      </c>
      <c r="CA21" s="748">
        <f t="shared" si="20"/>
        <v>0</v>
      </c>
      <c r="CB21" s="748">
        <f t="shared" si="20"/>
        <v>0</v>
      </c>
      <c r="CC21" s="748">
        <f t="shared" si="20"/>
        <v>0</v>
      </c>
      <c r="CD21" s="704">
        <f t="shared" si="7"/>
        <v>170000000</v>
      </c>
      <c r="CE21" s="704">
        <f>+K21+O21+S21+W21+AA21+AE21+AI21+AM21+AQ21+AU21+AY21+BC21+BO21+BS21+CA21+BW21</f>
        <v>165660000</v>
      </c>
      <c r="CF21" s="704">
        <f>+'Anexo 5.2. infor Gastos mesa 55'!AA55</f>
        <v>65260000</v>
      </c>
      <c r="CG21" s="704">
        <f>+'Anexo 5.2. infor Gastos mesa 55'!AB55</f>
        <v>65260000</v>
      </c>
      <c r="CH21" s="700"/>
      <c r="CI21" s="758">
        <f t="shared" si="3"/>
        <v>0</v>
      </c>
    </row>
    <row r="22" spans="1:100" ht="90.75" thickTop="1" thickBot="1" x14ac:dyDescent="0.3">
      <c r="A22" s="444"/>
      <c r="B22" s="446"/>
      <c r="C22" s="446"/>
      <c r="D22" s="446"/>
      <c r="E22" s="444"/>
      <c r="F22" s="444"/>
      <c r="G22" s="444"/>
      <c r="H22" s="1185" t="s">
        <v>2294</v>
      </c>
      <c r="I22" s="1186">
        <v>0</v>
      </c>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7"/>
      <c r="AQ22" s="687"/>
      <c r="AR22" s="687"/>
      <c r="AS22" s="687"/>
      <c r="AT22" s="687"/>
      <c r="AU22" s="687"/>
      <c r="AV22" s="687"/>
      <c r="AW22" s="687"/>
      <c r="AX22" s="687"/>
      <c r="AY22" s="687"/>
      <c r="AZ22" s="687"/>
      <c r="BA22" s="687"/>
      <c r="BB22" s="687"/>
      <c r="BC22" s="687"/>
      <c r="BD22" s="687"/>
      <c r="BE22" s="687"/>
      <c r="BF22" s="687"/>
      <c r="BG22" s="687"/>
      <c r="BH22" s="687"/>
      <c r="BI22" s="687"/>
      <c r="BJ22" s="687"/>
      <c r="BK22" s="687"/>
      <c r="BL22" s="687"/>
      <c r="BM22" s="687"/>
      <c r="BN22" s="687"/>
      <c r="BQ22" s="687"/>
      <c r="BR22" s="687"/>
      <c r="BS22" s="687"/>
      <c r="BT22" s="687"/>
      <c r="BU22" s="687"/>
      <c r="BV22" s="687"/>
      <c r="BW22" s="687"/>
      <c r="BX22" s="687"/>
      <c r="BY22" s="687"/>
      <c r="BZ22" s="687"/>
      <c r="CA22" s="687"/>
      <c r="CB22" s="687"/>
      <c r="CC22" s="687"/>
      <c r="CD22" s="688">
        <f t="shared" si="7"/>
        <v>0</v>
      </c>
      <c r="CE22" s="688">
        <f>+K22+O22+S22+W22+AA22+AE22+AI22+AM22+AQ22+AU22+AY22+BC22+BR22+CA22</f>
        <v>0</v>
      </c>
      <c r="CF22" s="688">
        <f>+L22+P22+T22+X22+AB22+AF22+AJ22+AN22+AR22+AV22+AZ22+BD22+BS22+BT22+CB22</f>
        <v>0</v>
      </c>
      <c r="CG22" s="688">
        <f>+M22+Q22+U22+Y22+AC22+AG22+AK22+AO22+AS22+AW22+BA22+BE22+BQ22+BU22+CC22</f>
        <v>0</v>
      </c>
      <c r="CH22" s="439"/>
      <c r="CI22" s="758">
        <f t="shared" si="3"/>
        <v>0</v>
      </c>
    </row>
    <row r="23" spans="1:100" ht="90.75" thickTop="1" thickBot="1" x14ac:dyDescent="0.3">
      <c r="A23" s="444"/>
      <c r="B23" s="444"/>
      <c r="C23" s="444"/>
      <c r="D23" s="444"/>
      <c r="E23" s="444"/>
      <c r="F23" s="444"/>
      <c r="G23" s="444"/>
      <c r="H23" s="686" t="s">
        <v>2297</v>
      </c>
      <c r="I23" s="1186">
        <v>0</v>
      </c>
      <c r="J23" s="687"/>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c r="AT23" s="687"/>
      <c r="AU23" s="687"/>
      <c r="AV23" s="687"/>
      <c r="AW23" s="687"/>
      <c r="AX23" s="687"/>
      <c r="AY23" s="687"/>
      <c r="AZ23" s="687"/>
      <c r="BA23" s="687"/>
      <c r="BB23" s="687"/>
      <c r="BC23" s="687"/>
      <c r="BD23" s="687"/>
      <c r="BE23" s="687"/>
      <c r="BF23" s="687"/>
      <c r="BG23" s="687"/>
      <c r="BH23" s="687"/>
      <c r="BI23" s="687"/>
      <c r="BJ23" s="687"/>
      <c r="BK23" s="687"/>
      <c r="BL23" s="687"/>
      <c r="BM23" s="687"/>
      <c r="BN23" s="687"/>
      <c r="BO23" s="687"/>
      <c r="BP23" s="687"/>
      <c r="BQ23" s="687"/>
      <c r="BR23" s="687"/>
      <c r="BS23" s="687"/>
      <c r="BT23" s="687"/>
      <c r="BU23" s="687"/>
      <c r="BV23" s="687"/>
      <c r="BW23" s="687"/>
      <c r="BX23" s="687"/>
      <c r="BY23" s="687"/>
      <c r="BZ23" s="687"/>
      <c r="CA23" s="687"/>
      <c r="CB23" s="687"/>
      <c r="CC23" s="687"/>
      <c r="CD23" s="688">
        <f t="shared" si="7"/>
        <v>0</v>
      </c>
      <c r="CE23" s="688">
        <f t="shared" ref="CE23:CF23" si="21">+K23+O23+S23+W23+AA23+AE23+AI23+AM23+AQ23+AU23+AY23+BC23+BO23+BS23+CA23</f>
        <v>0</v>
      </c>
      <c r="CF23" s="688">
        <f t="shared" si="21"/>
        <v>0</v>
      </c>
      <c r="CG23" s="688">
        <f>+M23+Q23+U23+Y23+AC23+AG23+AK23+AO23+AS23+AW23+BA23+BE23+BQ23+BU23+CC23</f>
        <v>0</v>
      </c>
      <c r="CH23" s="439"/>
      <c r="CI23" s="758">
        <f t="shared" si="3"/>
        <v>0</v>
      </c>
    </row>
    <row r="24" spans="1:100" ht="27" thickTop="1" thickBot="1" x14ac:dyDescent="0.3">
      <c r="A24" s="444"/>
      <c r="B24" s="444"/>
      <c r="C24" s="444"/>
      <c r="D24" s="444"/>
      <c r="E24" s="444"/>
      <c r="F24" s="444"/>
      <c r="G24" s="444"/>
      <c r="H24" s="686" t="s">
        <v>2298</v>
      </c>
      <c r="I24" s="1186">
        <v>100000000</v>
      </c>
      <c r="J24" s="687">
        <v>100000000</v>
      </c>
      <c r="K24" s="687">
        <v>100000000</v>
      </c>
      <c r="L24" s="687">
        <v>65260000</v>
      </c>
      <c r="M24" s="687">
        <v>65260000</v>
      </c>
      <c r="N24" s="687"/>
      <c r="O24" s="687"/>
      <c r="P24" s="687"/>
      <c r="Q24" s="687"/>
      <c r="R24" s="687"/>
      <c r="S24" s="687"/>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7"/>
      <c r="BH24" s="687"/>
      <c r="BI24" s="687"/>
      <c r="BJ24" s="687"/>
      <c r="BK24" s="687"/>
      <c r="BL24" s="687"/>
      <c r="BM24" s="687"/>
      <c r="BN24" s="687"/>
      <c r="BO24" s="687"/>
      <c r="BP24" s="687"/>
      <c r="BQ24" s="687"/>
      <c r="BR24" s="687"/>
      <c r="BS24" s="687"/>
      <c r="BT24" s="687"/>
      <c r="BU24" s="687"/>
      <c r="BV24" s="687"/>
      <c r="BW24" s="687"/>
      <c r="BX24" s="687"/>
      <c r="BY24" s="687"/>
      <c r="BZ24" s="687"/>
      <c r="CA24" s="687"/>
      <c r="CB24" s="687"/>
      <c r="CC24" s="687"/>
      <c r="CD24" s="688">
        <f t="shared" si="7"/>
        <v>100000000</v>
      </c>
      <c r="CE24" s="688">
        <f>+K24+O24+S24+W24+AA24+AE24+AI24+AM24+AQ24+AU24+AY24+BC24+BO24+BS24+CA24+BW24</f>
        <v>100000000</v>
      </c>
      <c r="CF24" s="688">
        <v>65260000</v>
      </c>
      <c r="CG24" s="688">
        <v>65260000</v>
      </c>
      <c r="CH24" s="439"/>
      <c r="CI24" s="758">
        <f t="shared" si="3"/>
        <v>0</v>
      </c>
    </row>
    <row r="25" spans="1:100" ht="27" thickTop="1" thickBot="1" x14ac:dyDescent="0.3">
      <c r="A25" s="444"/>
      <c r="B25" s="444"/>
      <c r="C25" s="444"/>
      <c r="D25" s="444"/>
      <c r="E25" s="445"/>
      <c r="F25" s="445"/>
      <c r="G25" s="444"/>
      <c r="H25" s="686" t="s">
        <v>2300</v>
      </c>
      <c r="I25" s="1186">
        <v>20000000</v>
      </c>
      <c r="J25" s="687"/>
      <c r="K25" s="687"/>
      <c r="L25" s="687"/>
      <c r="M25" s="687"/>
      <c r="N25" s="687"/>
      <c r="O25" s="687"/>
      <c r="P25" s="687"/>
      <c r="Q25" s="687"/>
      <c r="R25" s="687"/>
      <c r="S25" s="687"/>
      <c r="T25" s="687"/>
      <c r="U25" s="687"/>
      <c r="V25" s="687"/>
      <c r="W25" s="687"/>
      <c r="X25" s="687"/>
      <c r="Y25" s="687"/>
      <c r="Z25" s="687"/>
      <c r="AA25" s="687"/>
      <c r="AB25" s="687"/>
      <c r="AC25" s="687"/>
      <c r="AD25" s="687"/>
      <c r="AE25" s="687"/>
      <c r="AF25" s="687"/>
      <c r="AG25" s="687"/>
      <c r="AH25" s="687"/>
      <c r="AI25" s="687"/>
      <c r="AJ25" s="687"/>
      <c r="AK25" s="687"/>
      <c r="AL25" s="687"/>
      <c r="AM25" s="687"/>
      <c r="AN25" s="687"/>
      <c r="AO25" s="687"/>
      <c r="AP25" s="687"/>
      <c r="AQ25" s="687"/>
      <c r="AR25" s="687"/>
      <c r="AS25" s="687"/>
      <c r="AT25" s="687"/>
      <c r="AU25" s="687"/>
      <c r="AV25" s="687"/>
      <c r="AW25" s="687"/>
      <c r="AX25" s="687"/>
      <c r="AY25" s="687"/>
      <c r="AZ25" s="687"/>
      <c r="BA25" s="687"/>
      <c r="BB25" s="687"/>
      <c r="BC25" s="687"/>
      <c r="BD25" s="687"/>
      <c r="BE25" s="687"/>
      <c r="BF25" s="687"/>
      <c r="BG25" s="687"/>
      <c r="BH25" s="687"/>
      <c r="BI25" s="687"/>
      <c r="BJ25" s="687"/>
      <c r="BK25" s="687"/>
      <c r="BL25" s="687"/>
      <c r="BM25" s="687"/>
      <c r="BN25" s="687"/>
      <c r="BO25" s="687"/>
      <c r="BP25" s="687"/>
      <c r="BQ25" s="687"/>
      <c r="BR25" s="687">
        <v>20000000</v>
      </c>
      <c r="BS25" s="687">
        <v>15660000</v>
      </c>
      <c r="BT25" s="687">
        <v>0</v>
      </c>
      <c r="BU25" s="687">
        <v>0</v>
      </c>
      <c r="BV25" s="687"/>
      <c r="BW25" s="687"/>
      <c r="BX25" s="687"/>
      <c r="BY25" s="687"/>
      <c r="BZ25" s="687"/>
      <c r="CA25" s="687"/>
      <c r="CB25" s="687"/>
      <c r="CC25" s="687"/>
      <c r="CD25" s="688">
        <f t="shared" si="7"/>
        <v>20000000</v>
      </c>
      <c r="CE25" s="688">
        <f t="shared" ref="CE25" si="22">+K25+O25+S25+W25+AA25+AE25+AI25+AM25+AQ25+AU25+AY25+BC25+BO25+BS25+CA25</f>
        <v>15660000</v>
      </c>
      <c r="CF25" s="688"/>
      <c r="CG25" s="688"/>
      <c r="CH25" s="439"/>
      <c r="CI25" s="758">
        <f t="shared" si="3"/>
        <v>0</v>
      </c>
    </row>
    <row r="26" spans="1:100" ht="39.75" thickTop="1" thickBot="1" x14ac:dyDescent="0.3">
      <c r="A26" s="444"/>
      <c r="B26" s="444"/>
      <c r="C26" s="444"/>
      <c r="D26" s="444"/>
      <c r="E26" s="444"/>
      <c r="F26" s="444"/>
      <c r="G26" s="444"/>
      <c r="H26" s="686" t="s">
        <v>2302</v>
      </c>
      <c r="I26" s="1186">
        <v>50000000</v>
      </c>
      <c r="J26" s="687"/>
      <c r="K26" s="687"/>
      <c r="L26" s="687"/>
      <c r="M26" s="687"/>
      <c r="N26" s="687"/>
      <c r="O26" s="687"/>
      <c r="P26" s="687"/>
      <c r="Q26" s="687"/>
      <c r="R26" s="687"/>
      <c r="S26" s="687"/>
      <c r="T26" s="687"/>
      <c r="U26" s="687"/>
      <c r="V26" s="687"/>
      <c r="W26" s="687"/>
      <c r="X26" s="687"/>
      <c r="Y26" s="687"/>
      <c r="Z26" s="687"/>
      <c r="AA26" s="687"/>
      <c r="AB26" s="687"/>
      <c r="AC26" s="687"/>
      <c r="AD26" s="687"/>
      <c r="AE26" s="687"/>
      <c r="AF26" s="687"/>
      <c r="AG26" s="687"/>
      <c r="AH26" s="687"/>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7"/>
      <c r="BH26" s="687"/>
      <c r="BI26" s="687"/>
      <c r="BJ26" s="687"/>
      <c r="BK26" s="687"/>
      <c r="BL26" s="687"/>
      <c r="BM26" s="687"/>
      <c r="BN26" s="687"/>
      <c r="BO26" s="687"/>
      <c r="BP26" s="687"/>
      <c r="BQ26" s="687"/>
      <c r="BR26" s="687"/>
      <c r="BS26" s="687"/>
      <c r="BT26" s="687"/>
      <c r="BU26" s="687"/>
      <c r="BV26" s="687">
        <v>50000000</v>
      </c>
      <c r="BW26" s="687">
        <v>50000000</v>
      </c>
      <c r="BX26" s="687">
        <v>0</v>
      </c>
      <c r="BY26" s="687">
        <v>0</v>
      </c>
      <c r="BZ26" s="687"/>
      <c r="CA26" s="687"/>
      <c r="CB26" s="687"/>
      <c r="CC26" s="687"/>
      <c r="CD26" s="688">
        <f t="shared" si="7"/>
        <v>50000000</v>
      </c>
      <c r="CE26" s="688">
        <f>+K26+O26+S26+W26+AA26+AE26+AI26+AM26+AQ26+AU26+AY26+BC26+BO26+BS26+CA26+BW26</f>
        <v>50000000</v>
      </c>
      <c r="CF26" s="688"/>
      <c r="CG26" s="688"/>
      <c r="CH26" s="439"/>
      <c r="CI26" s="758">
        <f t="shared" si="3"/>
        <v>0</v>
      </c>
    </row>
    <row r="27" spans="1:100" ht="27" thickTop="1" thickBot="1" x14ac:dyDescent="0.3">
      <c r="A27" s="705"/>
      <c r="B27" s="705"/>
      <c r="C27" s="705"/>
      <c r="D27" s="705"/>
      <c r="E27" s="705"/>
      <c r="F27" s="705"/>
      <c r="G27" s="705"/>
      <c r="H27" s="706" t="s">
        <v>2156</v>
      </c>
      <c r="I27" s="755">
        <f t="shared" ref="I27:J27" si="23">+I28+I33+I50</f>
        <v>6646695000</v>
      </c>
      <c r="J27" s="755">
        <f t="shared" si="23"/>
        <v>3853030000</v>
      </c>
      <c r="K27" s="755">
        <f t="shared" ref="K27" si="24">+K28+K33+K50</f>
        <v>3851166655.7200003</v>
      </c>
      <c r="L27" s="755">
        <f t="shared" ref="L27" si="25">+L28+L33+L50</f>
        <v>2081068950.8500001</v>
      </c>
      <c r="M27" s="755">
        <f t="shared" ref="M27" si="26">+M28+M33+M50</f>
        <v>1870336496.23</v>
      </c>
      <c r="N27" s="755">
        <f t="shared" ref="N27" si="27">+N28+N33+N50</f>
        <v>250000000</v>
      </c>
      <c r="O27" s="755">
        <f t="shared" ref="O27" si="28">+O28+O33+O50</f>
        <v>250000000</v>
      </c>
      <c r="P27" s="755">
        <f t="shared" ref="P27" si="29">+P28+P33+P50</f>
        <v>250000000</v>
      </c>
      <c r="Q27" s="755">
        <f t="shared" ref="Q27" si="30">+Q28+Q33+Q50</f>
        <v>250000000</v>
      </c>
      <c r="R27" s="755">
        <f t="shared" ref="R27" si="31">+R28+R33+R50</f>
        <v>0</v>
      </c>
      <c r="S27" s="755">
        <f t="shared" ref="S27" si="32">+S28+S33+S50</f>
        <v>0</v>
      </c>
      <c r="T27" s="755">
        <f t="shared" ref="T27" si="33">+T28+T33+T50</f>
        <v>0</v>
      </c>
      <c r="U27" s="755">
        <f t="shared" ref="U27" si="34">+U28+U33+U50</f>
        <v>0</v>
      </c>
      <c r="V27" s="755">
        <f t="shared" ref="V27" si="35">+V28+V33+V50</f>
        <v>0</v>
      </c>
      <c r="W27" s="755">
        <f t="shared" ref="W27" si="36">+W28+W33+W50</f>
        <v>0</v>
      </c>
      <c r="X27" s="755">
        <f t="shared" ref="X27" si="37">+X28+X33+X50</f>
        <v>0</v>
      </c>
      <c r="Y27" s="755">
        <f t="shared" ref="Y27" si="38">+Y28+Y33+Y50</f>
        <v>0</v>
      </c>
      <c r="Z27" s="755">
        <f t="shared" ref="Z27" si="39">+Z28+Z33+Z50</f>
        <v>298800000</v>
      </c>
      <c r="AA27" s="755">
        <f t="shared" ref="AA27" si="40">+AA28+AA33+AA50</f>
        <v>298800000</v>
      </c>
      <c r="AB27" s="755">
        <f t="shared" ref="AB27" si="41">+AB28+AB33+AB50</f>
        <v>298800000</v>
      </c>
      <c r="AC27" s="755">
        <f t="shared" ref="AC27" si="42">+AC28+AC33+AC50</f>
        <v>298800000</v>
      </c>
      <c r="AD27" s="755">
        <f t="shared" ref="AD27" si="43">+AD28+AD33+AD50</f>
        <v>0</v>
      </c>
      <c r="AE27" s="755">
        <f t="shared" ref="AE27" si="44">+AE28+AE33+AE50</f>
        <v>0</v>
      </c>
      <c r="AF27" s="755">
        <f t="shared" ref="AF27" si="45">+AF28+AF33+AF50</f>
        <v>0</v>
      </c>
      <c r="AG27" s="755">
        <f t="shared" ref="AG27" si="46">+AG28+AG33+AG50</f>
        <v>0</v>
      </c>
      <c r="AH27" s="755">
        <f t="shared" ref="AH27" si="47">+AH28+AH33+AH50</f>
        <v>0</v>
      </c>
      <c r="AI27" s="755">
        <f t="shared" ref="AI27" si="48">+AI28+AI33+AI50</f>
        <v>0</v>
      </c>
      <c r="AJ27" s="755">
        <f t="shared" ref="AJ27" si="49">+AJ28+AJ33+AJ50</f>
        <v>0</v>
      </c>
      <c r="AK27" s="755">
        <f t="shared" ref="AK27" si="50">+AK28+AK33+AK50</f>
        <v>0</v>
      </c>
      <c r="AL27" s="755">
        <f t="shared" ref="AL27" si="51">+AL28+AL33+AL50</f>
        <v>0</v>
      </c>
      <c r="AM27" s="755">
        <f t="shared" ref="AM27" si="52">+AM28+AM33+AM50</f>
        <v>0</v>
      </c>
      <c r="AN27" s="755">
        <f t="shared" ref="AN27" si="53">+AN28+AN33+AN50</f>
        <v>0</v>
      </c>
      <c r="AO27" s="755">
        <f t="shared" ref="AO27" si="54">+AO28+AO33+AO50</f>
        <v>0</v>
      </c>
      <c r="AP27" s="755">
        <f t="shared" ref="AP27" si="55">+AP28+AP33+AP50</f>
        <v>900000</v>
      </c>
      <c r="AQ27" s="755">
        <f t="shared" ref="AQ27" si="56">+AQ28+AQ33+AQ50</f>
        <v>900000</v>
      </c>
      <c r="AR27" s="755">
        <f t="shared" ref="AR27" si="57">+AR28+AR33+AR50</f>
        <v>900000</v>
      </c>
      <c r="AS27" s="755">
        <f t="shared" ref="AS27" si="58">+AS28+AS33+AS50</f>
        <v>0</v>
      </c>
      <c r="AT27" s="755">
        <f t="shared" ref="AT27" si="59">+AT28+AT33+AT50</f>
        <v>0</v>
      </c>
      <c r="AU27" s="755">
        <f t="shared" ref="AU27" si="60">+AU28+AU33+AU50</f>
        <v>0</v>
      </c>
      <c r="AV27" s="755">
        <f t="shared" ref="AV27" si="61">+AV28+AV33+AV50</f>
        <v>0</v>
      </c>
      <c r="AW27" s="755">
        <f t="shared" ref="AW27" si="62">+AW28+AW33+AW50</f>
        <v>0</v>
      </c>
      <c r="AX27" s="755">
        <f t="shared" ref="AX27" si="63">+AX28+AX33+AX50</f>
        <v>0</v>
      </c>
      <c r="AY27" s="755">
        <f t="shared" ref="AY27" si="64">+AY28+AY33+AY50</f>
        <v>0</v>
      </c>
      <c r="AZ27" s="755">
        <f t="shared" ref="AZ27" si="65">+AZ28+AZ33+AZ50</f>
        <v>0</v>
      </c>
      <c r="BA27" s="755">
        <f t="shared" ref="BA27" si="66">+BA28+BA33+BA50</f>
        <v>0</v>
      </c>
      <c r="BB27" s="755">
        <f t="shared" ref="BB27" si="67">+BB28+BB33+BB50</f>
        <v>0</v>
      </c>
      <c r="BC27" s="755">
        <f t="shared" ref="BC27" si="68">+BC28+BC33+BC50</f>
        <v>0</v>
      </c>
      <c r="BD27" s="755">
        <f t="shared" ref="BD27" si="69">+BD28+BD33+BD50</f>
        <v>0</v>
      </c>
      <c r="BE27" s="755">
        <f t="shared" ref="BE27" si="70">+BE28+BE33+BE50</f>
        <v>0</v>
      </c>
      <c r="BF27" s="755">
        <f t="shared" ref="BF27" si="71">+BF28+BF33+BF50</f>
        <v>7483574.4800000004</v>
      </c>
      <c r="BG27" s="755">
        <f t="shared" ref="BG27" si="72">+BG28+BG33+BG50</f>
        <v>7483574.4800000004</v>
      </c>
      <c r="BH27" s="755">
        <f t="shared" ref="BH27" si="73">+BH28+BH33+BH50</f>
        <v>7483574.4800000004</v>
      </c>
      <c r="BI27" s="755">
        <f t="shared" ref="BI27" si="74">+BI28+BI33+BI50</f>
        <v>7483574.4800000004</v>
      </c>
      <c r="BJ27" s="755">
        <f t="shared" ref="BJ27" si="75">+BJ28+BJ33+BJ50</f>
        <v>452665000</v>
      </c>
      <c r="BK27" s="755">
        <f t="shared" ref="BK27" si="76">+BK28+BK33+BK50</f>
        <v>452665000</v>
      </c>
      <c r="BL27" s="755">
        <f t="shared" ref="BL27" si="77">+BL28+BL33+BL50</f>
        <v>133122000</v>
      </c>
      <c r="BM27" s="755">
        <f t="shared" ref="BM27" si="78">+BM28+BM33+BM50</f>
        <v>133122000</v>
      </c>
      <c r="BN27" s="755">
        <f t="shared" ref="BN27" si="79">+BN28+BN33+BN50</f>
        <v>0</v>
      </c>
      <c r="BO27" s="755">
        <f t="shared" ref="BO27" si="80">+BO28+BO33+BO50</f>
        <v>0</v>
      </c>
      <c r="BP27" s="755">
        <f t="shared" ref="BP27" si="81">+BP28+BP33+BP50</f>
        <v>0</v>
      </c>
      <c r="BQ27" s="755">
        <f t="shared" ref="BQ27" si="82">+BQ28+BQ33+BQ50</f>
        <v>0</v>
      </c>
      <c r="BR27" s="755">
        <f t="shared" ref="BR27" si="83">+BR28+BR33+BR50</f>
        <v>1100000000</v>
      </c>
      <c r="BS27" s="755">
        <f t="shared" ref="BS27" si="84">+BS28+BS33+BS50</f>
        <v>1100000000</v>
      </c>
      <c r="BT27" s="755">
        <f t="shared" ref="BT27" si="85">+BT28+BT33+BT50</f>
        <v>1100000000</v>
      </c>
      <c r="BU27" s="755">
        <f t="shared" ref="BU27" si="86">+BU28+BU33+BU50</f>
        <v>1099356000</v>
      </c>
      <c r="BV27" s="755">
        <f t="shared" ref="BV27" si="87">+BV28+BV33+BV50</f>
        <v>683816425.51999998</v>
      </c>
      <c r="BW27" s="755">
        <f t="shared" ref="BW27" si="88">+BW28+BW33+BW50</f>
        <v>634555225.51999998</v>
      </c>
      <c r="BX27" s="755">
        <f t="shared" ref="BX27" si="89">+BX28+BX33+BX50</f>
        <v>570555225.51999998</v>
      </c>
      <c r="BY27" s="755">
        <f t="shared" ref="BY27" si="90">+BY28+BY33+BY50</f>
        <v>408172425.51999998</v>
      </c>
      <c r="BZ27" s="755">
        <f t="shared" ref="BZ27" si="91">+BZ28+BZ33+BZ50</f>
        <v>0</v>
      </c>
      <c r="CA27" s="755">
        <f t="shared" ref="CA27" si="92">+CA28+CA33+CA50</f>
        <v>0</v>
      </c>
      <c r="CB27" s="755">
        <f t="shared" ref="CB27" si="93">+CB28+CB33+CB50</f>
        <v>0</v>
      </c>
      <c r="CC27" s="755">
        <f t="shared" ref="CC27" si="94">+CC28+CC33+CC50</f>
        <v>0</v>
      </c>
      <c r="CD27" s="755">
        <f t="shared" si="7"/>
        <v>6646695000</v>
      </c>
      <c r="CE27" s="755">
        <f>+CE28+CE33+CE50</f>
        <v>6595570455.7200003</v>
      </c>
      <c r="CF27" s="755">
        <f>+CF28+CF33+CF50</f>
        <v>4441929752</v>
      </c>
      <c r="CG27" s="755">
        <f>+CG28+CG33+CG50</f>
        <v>4067914497</v>
      </c>
      <c r="CH27" s="707"/>
      <c r="CI27" s="758">
        <f t="shared" si="3"/>
        <v>0</v>
      </c>
    </row>
    <row r="28" spans="1:100" ht="39.75" thickTop="1" thickBot="1" x14ac:dyDescent="0.3">
      <c r="A28" s="718"/>
      <c r="B28" s="718"/>
      <c r="C28" s="718"/>
      <c r="D28" s="718"/>
      <c r="E28" s="718"/>
      <c r="F28" s="718"/>
      <c r="G28" s="718"/>
      <c r="H28" s="708" t="s">
        <v>2157</v>
      </c>
      <c r="I28" s="752">
        <f t="shared" ref="I28:J28" si="95">+I29</f>
        <v>0</v>
      </c>
      <c r="J28" s="752">
        <f t="shared" si="95"/>
        <v>0</v>
      </c>
      <c r="K28" s="752">
        <f t="shared" ref="K28" si="96">+K29</f>
        <v>0</v>
      </c>
      <c r="L28" s="752">
        <f t="shared" ref="L28" si="97">+L29</f>
        <v>0</v>
      </c>
      <c r="M28" s="752">
        <f t="shared" ref="M28" si="98">+M29</f>
        <v>0</v>
      </c>
      <c r="N28" s="752">
        <f t="shared" ref="N28" si="99">+N29</f>
        <v>0</v>
      </c>
      <c r="O28" s="752">
        <f t="shared" ref="O28" si="100">+O29</f>
        <v>0</v>
      </c>
      <c r="P28" s="752">
        <f t="shared" ref="P28" si="101">+P29</f>
        <v>0</v>
      </c>
      <c r="Q28" s="752">
        <f t="shared" ref="Q28" si="102">+Q29</f>
        <v>0</v>
      </c>
      <c r="R28" s="752">
        <f t="shared" ref="R28" si="103">+R29</f>
        <v>0</v>
      </c>
      <c r="S28" s="752">
        <f t="shared" ref="S28" si="104">+S29</f>
        <v>0</v>
      </c>
      <c r="T28" s="752">
        <f t="shared" ref="T28" si="105">+T29</f>
        <v>0</v>
      </c>
      <c r="U28" s="752">
        <f t="shared" ref="U28" si="106">+U29</f>
        <v>0</v>
      </c>
      <c r="V28" s="752">
        <f t="shared" ref="V28" si="107">+V29</f>
        <v>0</v>
      </c>
      <c r="W28" s="752">
        <f t="shared" ref="W28" si="108">+W29</f>
        <v>0</v>
      </c>
      <c r="X28" s="752">
        <f t="shared" ref="X28" si="109">+X29</f>
        <v>0</v>
      </c>
      <c r="Y28" s="752">
        <f t="shared" ref="Y28" si="110">+Y29</f>
        <v>0</v>
      </c>
      <c r="Z28" s="752">
        <f t="shared" ref="Z28" si="111">+Z29</f>
        <v>0</v>
      </c>
      <c r="AA28" s="752">
        <f t="shared" ref="AA28" si="112">+AA29</f>
        <v>0</v>
      </c>
      <c r="AB28" s="752">
        <f t="shared" ref="AB28" si="113">+AB29</f>
        <v>0</v>
      </c>
      <c r="AC28" s="752">
        <f t="shared" ref="AC28" si="114">+AC29</f>
        <v>0</v>
      </c>
      <c r="AD28" s="752">
        <f t="shared" ref="AD28" si="115">+AD29</f>
        <v>0</v>
      </c>
      <c r="AE28" s="752">
        <f t="shared" ref="AE28" si="116">+AE29</f>
        <v>0</v>
      </c>
      <c r="AF28" s="752">
        <f t="shared" ref="AF28" si="117">+AF29</f>
        <v>0</v>
      </c>
      <c r="AG28" s="752">
        <f t="shared" ref="AG28" si="118">+AG29</f>
        <v>0</v>
      </c>
      <c r="AH28" s="752">
        <f t="shared" ref="AH28" si="119">+AH29</f>
        <v>0</v>
      </c>
      <c r="AI28" s="752">
        <f t="shared" ref="AI28" si="120">+AI29</f>
        <v>0</v>
      </c>
      <c r="AJ28" s="752">
        <f t="shared" ref="AJ28" si="121">+AJ29</f>
        <v>0</v>
      </c>
      <c r="AK28" s="752">
        <f t="shared" ref="AK28" si="122">+AK29</f>
        <v>0</v>
      </c>
      <c r="AL28" s="752">
        <f t="shared" ref="AL28" si="123">+AL29</f>
        <v>0</v>
      </c>
      <c r="AM28" s="752">
        <f t="shared" ref="AM28" si="124">+AM29</f>
        <v>0</v>
      </c>
      <c r="AN28" s="752">
        <f t="shared" ref="AN28" si="125">+AN29</f>
        <v>0</v>
      </c>
      <c r="AO28" s="752">
        <f t="shared" ref="AO28" si="126">+AO29</f>
        <v>0</v>
      </c>
      <c r="AP28" s="752">
        <f t="shared" ref="AP28" si="127">+AP29</f>
        <v>0</v>
      </c>
      <c r="AQ28" s="752">
        <f t="shared" ref="AQ28" si="128">+AQ29</f>
        <v>0</v>
      </c>
      <c r="AR28" s="752">
        <f t="shared" ref="AR28" si="129">+AR29</f>
        <v>0</v>
      </c>
      <c r="AS28" s="752">
        <f t="shared" ref="AS28" si="130">+AS29</f>
        <v>0</v>
      </c>
      <c r="AT28" s="752">
        <f t="shared" ref="AT28" si="131">+AT29</f>
        <v>0</v>
      </c>
      <c r="AU28" s="752">
        <f t="shared" ref="AU28" si="132">+AU29</f>
        <v>0</v>
      </c>
      <c r="AV28" s="752">
        <f t="shared" ref="AV28" si="133">+AV29</f>
        <v>0</v>
      </c>
      <c r="AW28" s="752">
        <f t="shared" ref="AW28" si="134">+AW29</f>
        <v>0</v>
      </c>
      <c r="AX28" s="752">
        <f t="shared" ref="AX28" si="135">+AX29</f>
        <v>0</v>
      </c>
      <c r="AY28" s="752">
        <f t="shared" ref="AY28" si="136">+AY29</f>
        <v>0</v>
      </c>
      <c r="AZ28" s="752">
        <f t="shared" ref="AZ28" si="137">+AZ29</f>
        <v>0</v>
      </c>
      <c r="BA28" s="752">
        <f t="shared" ref="BA28" si="138">+BA29</f>
        <v>0</v>
      </c>
      <c r="BB28" s="752">
        <f t="shared" ref="BB28" si="139">+BB29</f>
        <v>0</v>
      </c>
      <c r="BC28" s="752">
        <f t="shared" ref="BC28" si="140">+BC29</f>
        <v>0</v>
      </c>
      <c r="BD28" s="752">
        <f t="shared" ref="BD28" si="141">+BD29</f>
        <v>0</v>
      </c>
      <c r="BE28" s="752">
        <f t="shared" ref="BE28" si="142">+BE29</f>
        <v>0</v>
      </c>
      <c r="BF28" s="752">
        <f t="shared" ref="BF28" si="143">+BF29</f>
        <v>0</v>
      </c>
      <c r="BG28" s="752">
        <f t="shared" ref="BG28" si="144">+BG29</f>
        <v>0</v>
      </c>
      <c r="BH28" s="752">
        <f t="shared" ref="BH28" si="145">+BH29</f>
        <v>0</v>
      </c>
      <c r="BI28" s="752">
        <f t="shared" ref="BI28" si="146">+BI29</f>
        <v>0</v>
      </c>
      <c r="BJ28" s="752">
        <f t="shared" ref="BJ28" si="147">+BJ29</f>
        <v>0</v>
      </c>
      <c r="BK28" s="752">
        <f t="shared" ref="BK28" si="148">+BK29</f>
        <v>0</v>
      </c>
      <c r="BL28" s="752">
        <f t="shared" ref="BL28" si="149">+BL29</f>
        <v>0</v>
      </c>
      <c r="BM28" s="752">
        <f t="shared" ref="BM28" si="150">+BM29</f>
        <v>0</v>
      </c>
      <c r="BN28" s="752">
        <f t="shared" ref="BN28" si="151">+BN29</f>
        <v>0</v>
      </c>
      <c r="BO28" s="752">
        <f t="shared" ref="BO28" si="152">+BO29</f>
        <v>0</v>
      </c>
      <c r="BP28" s="752">
        <f t="shared" ref="BP28" si="153">+BP29</f>
        <v>0</v>
      </c>
      <c r="BQ28" s="752">
        <f t="shared" ref="BQ28" si="154">+BQ29</f>
        <v>0</v>
      </c>
      <c r="BR28" s="752">
        <f t="shared" ref="BR28" si="155">+BR29</f>
        <v>0</v>
      </c>
      <c r="BS28" s="752">
        <f t="shared" ref="BS28" si="156">+BS29</f>
        <v>0</v>
      </c>
      <c r="BT28" s="752">
        <f t="shared" ref="BT28" si="157">+BT29</f>
        <v>0</v>
      </c>
      <c r="BU28" s="752">
        <f t="shared" ref="BU28" si="158">+BU29</f>
        <v>0</v>
      </c>
      <c r="BV28" s="752">
        <f t="shared" ref="BV28" si="159">+BV29</f>
        <v>0</v>
      </c>
      <c r="BW28" s="752">
        <f t="shared" ref="BW28" si="160">+BW29</f>
        <v>0</v>
      </c>
      <c r="BX28" s="752">
        <f t="shared" ref="BX28" si="161">+BX29</f>
        <v>0</v>
      </c>
      <c r="BY28" s="752">
        <f t="shared" ref="BY28" si="162">+BY29</f>
        <v>0</v>
      </c>
      <c r="BZ28" s="752">
        <f t="shared" ref="BZ28" si="163">+BZ29</f>
        <v>0</v>
      </c>
      <c r="CA28" s="752">
        <f t="shared" ref="CA28" si="164">+CA29</f>
        <v>0</v>
      </c>
      <c r="CB28" s="752">
        <f t="shared" ref="CB28" si="165">+CB29</f>
        <v>0</v>
      </c>
      <c r="CC28" s="752">
        <f t="shared" ref="CC28" si="166">+CC29</f>
        <v>0</v>
      </c>
      <c r="CD28" s="752">
        <f t="shared" si="7"/>
        <v>0</v>
      </c>
      <c r="CE28" s="752">
        <f>+CE29</f>
        <v>0</v>
      </c>
      <c r="CF28" s="752">
        <f>+CF29</f>
        <v>0</v>
      </c>
      <c r="CG28" s="752">
        <f>+CG29</f>
        <v>0</v>
      </c>
      <c r="CH28" s="709"/>
      <c r="CI28" s="758">
        <f t="shared" si="3"/>
        <v>0</v>
      </c>
    </row>
    <row r="29" spans="1:100" ht="27" thickTop="1" thickBot="1" x14ac:dyDescent="0.3">
      <c r="A29" s="683"/>
      <c r="B29" s="683"/>
      <c r="C29" s="683"/>
      <c r="D29" s="683"/>
      <c r="E29" s="683"/>
      <c r="F29" s="712"/>
      <c r="G29" s="710"/>
      <c r="H29" s="689" t="s">
        <v>2158</v>
      </c>
      <c r="I29" s="753">
        <f t="shared" ref="I29:BS29" si="167">+SUM(I30:I32)</f>
        <v>0</v>
      </c>
      <c r="J29" s="753">
        <f t="shared" si="167"/>
        <v>0</v>
      </c>
      <c r="K29" s="753">
        <f t="shared" si="167"/>
        <v>0</v>
      </c>
      <c r="L29" s="753">
        <f t="shared" si="167"/>
        <v>0</v>
      </c>
      <c r="M29" s="753">
        <f t="shared" si="167"/>
        <v>0</v>
      </c>
      <c r="N29" s="753">
        <f t="shared" si="167"/>
        <v>0</v>
      </c>
      <c r="O29" s="753">
        <f t="shared" si="167"/>
        <v>0</v>
      </c>
      <c r="P29" s="753">
        <f t="shared" si="167"/>
        <v>0</v>
      </c>
      <c r="Q29" s="753">
        <f t="shared" si="167"/>
        <v>0</v>
      </c>
      <c r="R29" s="753">
        <f t="shared" si="167"/>
        <v>0</v>
      </c>
      <c r="S29" s="753">
        <f t="shared" si="167"/>
        <v>0</v>
      </c>
      <c r="T29" s="753">
        <f t="shared" si="167"/>
        <v>0</v>
      </c>
      <c r="U29" s="753">
        <f t="shared" si="167"/>
        <v>0</v>
      </c>
      <c r="V29" s="753">
        <f t="shared" si="167"/>
        <v>0</v>
      </c>
      <c r="W29" s="753">
        <f t="shared" si="167"/>
        <v>0</v>
      </c>
      <c r="X29" s="753">
        <f t="shared" si="167"/>
        <v>0</v>
      </c>
      <c r="Y29" s="753">
        <f t="shared" si="167"/>
        <v>0</v>
      </c>
      <c r="Z29" s="753">
        <f t="shared" si="167"/>
        <v>0</v>
      </c>
      <c r="AA29" s="753">
        <f t="shared" si="167"/>
        <v>0</v>
      </c>
      <c r="AB29" s="753">
        <f t="shared" si="167"/>
        <v>0</v>
      </c>
      <c r="AC29" s="753">
        <f t="shared" si="167"/>
        <v>0</v>
      </c>
      <c r="AD29" s="753">
        <f t="shared" si="167"/>
        <v>0</v>
      </c>
      <c r="AE29" s="753">
        <f t="shared" si="167"/>
        <v>0</v>
      </c>
      <c r="AF29" s="753">
        <f t="shared" si="167"/>
        <v>0</v>
      </c>
      <c r="AG29" s="753">
        <f t="shared" si="167"/>
        <v>0</v>
      </c>
      <c r="AH29" s="753">
        <f t="shared" si="167"/>
        <v>0</v>
      </c>
      <c r="AI29" s="753">
        <f t="shared" si="167"/>
        <v>0</v>
      </c>
      <c r="AJ29" s="753">
        <f t="shared" si="167"/>
        <v>0</v>
      </c>
      <c r="AK29" s="753">
        <f t="shared" si="167"/>
        <v>0</v>
      </c>
      <c r="AL29" s="753">
        <f t="shared" si="167"/>
        <v>0</v>
      </c>
      <c r="AM29" s="753">
        <f t="shared" si="167"/>
        <v>0</v>
      </c>
      <c r="AN29" s="753">
        <f t="shared" si="167"/>
        <v>0</v>
      </c>
      <c r="AO29" s="753">
        <f t="shared" si="167"/>
        <v>0</v>
      </c>
      <c r="AP29" s="753">
        <f t="shared" si="167"/>
        <v>0</v>
      </c>
      <c r="AQ29" s="753">
        <f t="shared" si="167"/>
        <v>0</v>
      </c>
      <c r="AR29" s="753">
        <f t="shared" si="167"/>
        <v>0</v>
      </c>
      <c r="AS29" s="753">
        <f t="shared" si="167"/>
        <v>0</v>
      </c>
      <c r="AT29" s="753">
        <f t="shared" si="167"/>
        <v>0</v>
      </c>
      <c r="AU29" s="753">
        <f t="shared" si="167"/>
        <v>0</v>
      </c>
      <c r="AV29" s="753">
        <f t="shared" si="167"/>
        <v>0</v>
      </c>
      <c r="AW29" s="753">
        <f t="shared" si="167"/>
        <v>0</v>
      </c>
      <c r="AX29" s="753">
        <f t="shared" si="167"/>
        <v>0</v>
      </c>
      <c r="AY29" s="753">
        <f t="shared" si="167"/>
        <v>0</v>
      </c>
      <c r="AZ29" s="753">
        <f t="shared" si="167"/>
        <v>0</v>
      </c>
      <c r="BA29" s="753">
        <f t="shared" si="167"/>
        <v>0</v>
      </c>
      <c r="BB29" s="753">
        <f t="shared" si="167"/>
        <v>0</v>
      </c>
      <c r="BC29" s="753">
        <f t="shared" si="167"/>
        <v>0</v>
      </c>
      <c r="BD29" s="753">
        <f t="shared" si="167"/>
        <v>0</v>
      </c>
      <c r="BE29" s="753">
        <f t="shared" si="167"/>
        <v>0</v>
      </c>
      <c r="BF29" s="753">
        <f t="shared" si="167"/>
        <v>0</v>
      </c>
      <c r="BG29" s="753">
        <f t="shared" si="167"/>
        <v>0</v>
      </c>
      <c r="BH29" s="753">
        <f t="shared" si="167"/>
        <v>0</v>
      </c>
      <c r="BI29" s="753">
        <f t="shared" si="167"/>
        <v>0</v>
      </c>
      <c r="BJ29" s="753">
        <f t="shared" si="167"/>
        <v>0</v>
      </c>
      <c r="BK29" s="753">
        <f t="shared" si="167"/>
        <v>0</v>
      </c>
      <c r="BL29" s="753">
        <f t="shared" si="167"/>
        <v>0</v>
      </c>
      <c r="BM29" s="753">
        <f t="shared" si="167"/>
        <v>0</v>
      </c>
      <c r="BN29" s="753">
        <f t="shared" si="167"/>
        <v>0</v>
      </c>
      <c r="BO29" s="753">
        <f t="shared" si="167"/>
        <v>0</v>
      </c>
      <c r="BP29" s="753">
        <f t="shared" si="167"/>
        <v>0</v>
      </c>
      <c r="BQ29" s="753">
        <f t="shared" si="167"/>
        <v>0</v>
      </c>
      <c r="BR29" s="753">
        <f t="shared" si="167"/>
        <v>0</v>
      </c>
      <c r="BS29" s="753">
        <f t="shared" si="167"/>
        <v>0</v>
      </c>
      <c r="BT29" s="753">
        <f t="shared" ref="BT29:CC29" si="168">+SUM(BT30:BT32)</f>
        <v>0</v>
      </c>
      <c r="BU29" s="753">
        <f t="shared" si="168"/>
        <v>0</v>
      </c>
      <c r="BV29" s="753">
        <f t="shared" si="168"/>
        <v>0</v>
      </c>
      <c r="BW29" s="753">
        <f t="shared" si="168"/>
        <v>0</v>
      </c>
      <c r="BX29" s="753">
        <f t="shared" si="168"/>
        <v>0</v>
      </c>
      <c r="BY29" s="753">
        <f t="shared" si="168"/>
        <v>0</v>
      </c>
      <c r="BZ29" s="753">
        <f t="shared" si="168"/>
        <v>0</v>
      </c>
      <c r="CA29" s="753">
        <f t="shared" si="168"/>
        <v>0</v>
      </c>
      <c r="CB29" s="753">
        <f t="shared" si="168"/>
        <v>0</v>
      </c>
      <c r="CC29" s="753">
        <f t="shared" si="168"/>
        <v>0</v>
      </c>
      <c r="CD29" s="691">
        <f t="shared" si="7"/>
        <v>0</v>
      </c>
      <c r="CE29" s="691">
        <f t="shared" ref="CE29:CG32" si="169">+K29+O29+S29+W29+AA29+AE29+AI29+AM29+AQ29+AU29+AY29+BC29+BO29+BS29+CA29</f>
        <v>0</v>
      </c>
      <c r="CF29" s="691">
        <f t="shared" si="169"/>
        <v>0</v>
      </c>
      <c r="CG29" s="691">
        <f t="shared" si="169"/>
        <v>0</v>
      </c>
      <c r="CH29" s="700"/>
      <c r="CI29" s="758">
        <f t="shared" si="3"/>
        <v>0</v>
      </c>
    </row>
    <row r="30" spans="1:100" ht="52.5" thickTop="1" thickBot="1" x14ac:dyDescent="0.3">
      <c r="A30" s="444"/>
      <c r="B30" s="444"/>
      <c r="C30" s="444"/>
      <c r="D30" s="444"/>
      <c r="E30" s="444"/>
      <c r="F30" s="444"/>
      <c r="G30" s="444"/>
      <c r="H30" s="1185" t="s">
        <v>2304</v>
      </c>
      <c r="I30" s="1186">
        <v>0</v>
      </c>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Q30" s="651"/>
      <c r="BR30" s="651"/>
      <c r="BT30" s="651"/>
      <c r="BU30" s="651"/>
      <c r="BV30" s="651"/>
      <c r="BW30" s="651"/>
      <c r="BX30" s="651"/>
      <c r="BY30" s="651"/>
      <c r="BZ30" s="651"/>
      <c r="CA30" s="651"/>
      <c r="CB30" s="651"/>
      <c r="CC30" s="651"/>
      <c r="CD30" s="688">
        <f t="shared" si="7"/>
        <v>0</v>
      </c>
      <c r="CE30" s="653">
        <f t="shared" si="169"/>
        <v>0</v>
      </c>
      <c r="CF30" s="653">
        <f t="shared" si="169"/>
        <v>0</v>
      </c>
      <c r="CG30" s="653">
        <f t="shared" si="169"/>
        <v>0</v>
      </c>
      <c r="CH30" s="439"/>
      <c r="CI30" s="758">
        <f t="shared" si="3"/>
        <v>0</v>
      </c>
    </row>
    <row r="31" spans="1:100" ht="52.5" thickTop="1" thickBot="1" x14ac:dyDescent="0.3">
      <c r="A31" s="444"/>
      <c r="B31" s="444"/>
      <c r="C31" s="444"/>
      <c r="D31" s="444"/>
      <c r="E31" s="444"/>
      <c r="F31" s="444"/>
      <c r="G31" s="444"/>
      <c r="H31" s="686" t="s">
        <v>2306</v>
      </c>
      <c r="I31" s="1186">
        <v>0</v>
      </c>
      <c r="J31" s="687"/>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8">
        <f t="shared" si="7"/>
        <v>0</v>
      </c>
      <c r="CE31" s="688">
        <f t="shared" si="169"/>
        <v>0</v>
      </c>
      <c r="CF31" s="688">
        <f t="shared" si="169"/>
        <v>0</v>
      </c>
      <c r="CG31" s="688">
        <f t="shared" si="169"/>
        <v>0</v>
      </c>
      <c r="CH31" s="439"/>
      <c r="CI31" s="758">
        <f t="shared" si="3"/>
        <v>0</v>
      </c>
    </row>
    <row r="32" spans="1:100" ht="39.75" thickTop="1" thickBot="1" x14ac:dyDescent="0.3">
      <c r="A32" s="444"/>
      <c r="B32" s="444"/>
      <c r="C32" s="444"/>
      <c r="D32" s="444"/>
      <c r="E32" s="444"/>
      <c r="F32" s="444"/>
      <c r="G32" s="444"/>
      <c r="H32" s="686" t="s">
        <v>2308</v>
      </c>
      <c r="I32" s="1186">
        <v>0</v>
      </c>
      <c r="J32" s="687"/>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87"/>
      <c r="AO32" s="687"/>
      <c r="AP32" s="687"/>
      <c r="AQ32" s="687"/>
      <c r="AR32" s="687"/>
      <c r="AS32" s="687"/>
      <c r="AT32" s="687"/>
      <c r="AU32" s="687"/>
      <c r="AV32" s="687"/>
      <c r="AW32" s="687"/>
      <c r="AX32" s="687"/>
      <c r="AY32" s="687"/>
      <c r="AZ32" s="687"/>
      <c r="BA32" s="687"/>
      <c r="BB32" s="687"/>
      <c r="BC32" s="687"/>
      <c r="BD32" s="687"/>
      <c r="BE32" s="687"/>
      <c r="BF32" s="687"/>
      <c r="BG32" s="687"/>
      <c r="BH32" s="687"/>
      <c r="BI32" s="687"/>
      <c r="BJ32" s="687"/>
      <c r="BK32" s="687"/>
      <c r="BL32" s="687"/>
      <c r="BM32" s="687"/>
      <c r="BN32" s="687"/>
      <c r="BO32" s="687"/>
      <c r="BP32" s="687"/>
      <c r="BQ32" s="687"/>
      <c r="BR32" s="687"/>
      <c r="BS32" s="687"/>
      <c r="BT32" s="687"/>
      <c r="BU32" s="687"/>
      <c r="BV32" s="687"/>
      <c r="BW32" s="687"/>
      <c r="BX32" s="687"/>
      <c r="BY32" s="687"/>
      <c r="BZ32" s="687"/>
      <c r="CA32" s="687"/>
      <c r="CB32" s="687"/>
      <c r="CC32" s="687"/>
      <c r="CD32" s="688">
        <f t="shared" si="7"/>
        <v>0</v>
      </c>
      <c r="CE32" s="688">
        <f t="shared" si="169"/>
        <v>0</v>
      </c>
      <c r="CF32" s="688">
        <f t="shared" si="169"/>
        <v>0</v>
      </c>
      <c r="CG32" s="688">
        <f t="shared" si="169"/>
        <v>0</v>
      </c>
      <c r="CH32" s="439"/>
      <c r="CI32" s="758">
        <f t="shared" si="3"/>
        <v>0</v>
      </c>
    </row>
    <row r="33" spans="1:87" ht="27" thickTop="1" thickBot="1" x14ac:dyDescent="0.3">
      <c r="A33" s="717"/>
      <c r="B33" s="717"/>
      <c r="C33" s="716"/>
      <c r="D33" s="716"/>
      <c r="E33" s="716"/>
      <c r="F33" s="716"/>
      <c r="G33" s="717"/>
      <c r="H33" s="708" t="s">
        <v>2159</v>
      </c>
      <c r="I33" s="752">
        <f t="shared" ref="I33:BS33" si="170">+I34+I43</f>
        <v>4801365000</v>
      </c>
      <c r="J33" s="752">
        <f t="shared" si="170"/>
        <v>3718700000</v>
      </c>
      <c r="K33" s="752">
        <f t="shared" si="170"/>
        <v>3716925109.7200003</v>
      </c>
      <c r="L33" s="752">
        <f t="shared" si="170"/>
        <v>1946827404.8500001</v>
      </c>
      <c r="M33" s="752">
        <f t="shared" si="170"/>
        <v>1746988349.23</v>
      </c>
      <c r="N33" s="752">
        <f t="shared" si="170"/>
        <v>0</v>
      </c>
      <c r="O33" s="752">
        <f t="shared" si="170"/>
        <v>0</v>
      </c>
      <c r="P33" s="752">
        <f t="shared" si="170"/>
        <v>0</v>
      </c>
      <c r="Q33" s="752">
        <f t="shared" si="170"/>
        <v>0</v>
      </c>
      <c r="R33" s="752">
        <f t="shared" si="170"/>
        <v>0</v>
      </c>
      <c r="S33" s="752">
        <f t="shared" si="170"/>
        <v>0</v>
      </c>
      <c r="T33" s="752">
        <f t="shared" si="170"/>
        <v>0</v>
      </c>
      <c r="U33" s="752">
        <f t="shared" si="170"/>
        <v>0</v>
      </c>
      <c r="V33" s="752">
        <f t="shared" si="170"/>
        <v>0</v>
      </c>
      <c r="W33" s="752">
        <f t="shared" si="170"/>
        <v>0</v>
      </c>
      <c r="X33" s="752">
        <f t="shared" si="170"/>
        <v>0</v>
      </c>
      <c r="Y33" s="752">
        <f t="shared" si="170"/>
        <v>0</v>
      </c>
      <c r="Z33" s="752">
        <f t="shared" si="170"/>
        <v>298800000</v>
      </c>
      <c r="AA33" s="752">
        <f t="shared" si="170"/>
        <v>298800000</v>
      </c>
      <c r="AB33" s="752">
        <f t="shared" si="170"/>
        <v>298800000</v>
      </c>
      <c r="AC33" s="752">
        <f t="shared" si="170"/>
        <v>298800000</v>
      </c>
      <c r="AD33" s="752">
        <f t="shared" si="170"/>
        <v>0</v>
      </c>
      <c r="AE33" s="752">
        <f t="shared" si="170"/>
        <v>0</v>
      </c>
      <c r="AF33" s="752">
        <f t="shared" si="170"/>
        <v>0</v>
      </c>
      <c r="AG33" s="752">
        <f t="shared" si="170"/>
        <v>0</v>
      </c>
      <c r="AH33" s="752">
        <f t="shared" si="170"/>
        <v>0</v>
      </c>
      <c r="AI33" s="752">
        <f t="shared" si="170"/>
        <v>0</v>
      </c>
      <c r="AJ33" s="752">
        <f t="shared" si="170"/>
        <v>0</v>
      </c>
      <c r="AK33" s="752">
        <f t="shared" si="170"/>
        <v>0</v>
      </c>
      <c r="AL33" s="752">
        <f t="shared" si="170"/>
        <v>0</v>
      </c>
      <c r="AM33" s="752">
        <f t="shared" si="170"/>
        <v>0</v>
      </c>
      <c r="AN33" s="752">
        <f t="shared" si="170"/>
        <v>0</v>
      </c>
      <c r="AO33" s="752">
        <f t="shared" si="170"/>
        <v>0</v>
      </c>
      <c r="AP33" s="752">
        <f t="shared" si="170"/>
        <v>900000</v>
      </c>
      <c r="AQ33" s="752">
        <f t="shared" si="170"/>
        <v>900000</v>
      </c>
      <c r="AR33" s="752">
        <f t="shared" si="170"/>
        <v>900000</v>
      </c>
      <c r="AS33" s="752">
        <f t="shared" si="170"/>
        <v>0</v>
      </c>
      <c r="AT33" s="752">
        <f t="shared" si="170"/>
        <v>0</v>
      </c>
      <c r="AU33" s="752">
        <f t="shared" si="170"/>
        <v>0</v>
      </c>
      <c r="AV33" s="752">
        <f t="shared" si="170"/>
        <v>0</v>
      </c>
      <c r="AW33" s="752">
        <f t="shared" si="170"/>
        <v>0</v>
      </c>
      <c r="AX33" s="752">
        <f t="shared" si="170"/>
        <v>0</v>
      </c>
      <c r="AY33" s="752">
        <f t="shared" si="170"/>
        <v>0</v>
      </c>
      <c r="AZ33" s="752">
        <f t="shared" si="170"/>
        <v>0</v>
      </c>
      <c r="BA33" s="752">
        <f t="shared" si="170"/>
        <v>0</v>
      </c>
      <c r="BB33" s="752">
        <f t="shared" si="170"/>
        <v>0</v>
      </c>
      <c r="BC33" s="752">
        <f t="shared" si="170"/>
        <v>0</v>
      </c>
      <c r="BD33" s="752">
        <f t="shared" si="170"/>
        <v>0</v>
      </c>
      <c r="BE33" s="752">
        <f t="shared" si="170"/>
        <v>0</v>
      </c>
      <c r="BF33" s="752">
        <f t="shared" si="170"/>
        <v>7483574.4800000004</v>
      </c>
      <c r="BG33" s="752">
        <f t="shared" si="170"/>
        <v>7483574.4800000004</v>
      </c>
      <c r="BH33" s="752">
        <f t="shared" si="170"/>
        <v>7483574.4800000004</v>
      </c>
      <c r="BI33" s="752">
        <f t="shared" si="170"/>
        <v>7483574.4800000004</v>
      </c>
      <c r="BJ33" s="752">
        <f t="shared" si="170"/>
        <v>452665000</v>
      </c>
      <c r="BK33" s="752">
        <f t="shared" si="170"/>
        <v>452665000</v>
      </c>
      <c r="BL33" s="752">
        <f t="shared" si="170"/>
        <v>133122000</v>
      </c>
      <c r="BM33" s="752">
        <f t="shared" si="170"/>
        <v>133122000</v>
      </c>
      <c r="BN33" s="752">
        <f t="shared" si="170"/>
        <v>0</v>
      </c>
      <c r="BO33" s="752">
        <f t="shared" si="170"/>
        <v>0</v>
      </c>
      <c r="BP33" s="752">
        <f t="shared" si="170"/>
        <v>0</v>
      </c>
      <c r="BQ33" s="752">
        <f t="shared" si="170"/>
        <v>0</v>
      </c>
      <c r="BR33" s="752">
        <f t="shared" si="170"/>
        <v>0</v>
      </c>
      <c r="BS33" s="752">
        <f t="shared" si="170"/>
        <v>0</v>
      </c>
      <c r="BT33" s="752">
        <f t="shared" ref="BT33:CC33" si="171">+BT34+BT43</f>
        <v>0</v>
      </c>
      <c r="BU33" s="752">
        <f t="shared" si="171"/>
        <v>0</v>
      </c>
      <c r="BV33" s="752">
        <f t="shared" si="171"/>
        <v>322816425.51999998</v>
      </c>
      <c r="BW33" s="752">
        <f t="shared" si="171"/>
        <v>273555225.51999998</v>
      </c>
      <c r="BX33" s="752">
        <f t="shared" si="171"/>
        <v>209555225.52000001</v>
      </c>
      <c r="BY33" s="752">
        <f t="shared" si="171"/>
        <v>208816425.52000001</v>
      </c>
      <c r="BZ33" s="752">
        <f t="shared" si="171"/>
        <v>0</v>
      </c>
      <c r="CA33" s="752">
        <f t="shared" si="171"/>
        <v>0</v>
      </c>
      <c r="CB33" s="752">
        <f t="shared" si="171"/>
        <v>0</v>
      </c>
      <c r="CC33" s="752">
        <f t="shared" si="171"/>
        <v>0</v>
      </c>
      <c r="CD33" s="1196">
        <f t="shared" si="7"/>
        <v>4801365000</v>
      </c>
      <c r="CE33" s="1196">
        <f>+CE34+CE43</f>
        <v>4750328909.7200003</v>
      </c>
      <c r="CF33" s="1196">
        <f>+CF34+CF43</f>
        <v>2596688205</v>
      </c>
      <c r="CG33" s="1196">
        <f>+CG34+CG43</f>
        <v>2395210350</v>
      </c>
      <c r="CH33" s="709"/>
      <c r="CI33" s="758">
        <f t="shared" si="3"/>
        <v>0</v>
      </c>
    </row>
    <row r="34" spans="1:87" s="174" customFormat="1" ht="27" thickTop="1" thickBot="1" x14ac:dyDescent="0.3">
      <c r="A34" s="1177"/>
      <c r="B34" s="1177"/>
      <c r="C34" s="1177"/>
      <c r="D34" s="1177"/>
      <c r="E34" s="1177"/>
      <c r="F34" s="1177"/>
      <c r="G34" s="1178"/>
      <c r="H34" s="721" t="s">
        <v>2160</v>
      </c>
      <c r="I34" s="754">
        <f t="shared" ref="I34:BS34" si="172">+SUM(I35:I42)</f>
        <v>4002665000</v>
      </c>
      <c r="J34" s="754">
        <f t="shared" si="172"/>
        <v>3020900000</v>
      </c>
      <c r="K34" s="754">
        <f t="shared" si="172"/>
        <v>3019946309.7200003</v>
      </c>
      <c r="L34" s="754">
        <f t="shared" si="172"/>
        <v>1763027404.8500001</v>
      </c>
      <c r="M34" s="754">
        <f t="shared" si="172"/>
        <v>1746988349.23</v>
      </c>
      <c r="N34" s="754">
        <f t="shared" si="172"/>
        <v>0</v>
      </c>
      <c r="O34" s="754">
        <f t="shared" si="172"/>
        <v>0</v>
      </c>
      <c r="P34" s="754">
        <f t="shared" si="172"/>
        <v>0</v>
      </c>
      <c r="Q34" s="754">
        <f t="shared" si="172"/>
        <v>0</v>
      </c>
      <c r="R34" s="754">
        <f t="shared" si="172"/>
        <v>0</v>
      </c>
      <c r="S34" s="754">
        <f t="shared" si="172"/>
        <v>0</v>
      </c>
      <c r="T34" s="754">
        <f t="shared" si="172"/>
        <v>0</v>
      </c>
      <c r="U34" s="754">
        <f t="shared" si="172"/>
        <v>0</v>
      </c>
      <c r="V34" s="754">
        <f t="shared" si="172"/>
        <v>0</v>
      </c>
      <c r="W34" s="754">
        <f t="shared" si="172"/>
        <v>0</v>
      </c>
      <c r="X34" s="754">
        <f t="shared" si="172"/>
        <v>0</v>
      </c>
      <c r="Y34" s="754">
        <f t="shared" si="172"/>
        <v>0</v>
      </c>
      <c r="Z34" s="754">
        <f t="shared" si="172"/>
        <v>298800000</v>
      </c>
      <c r="AA34" s="754">
        <f t="shared" si="172"/>
        <v>298800000</v>
      </c>
      <c r="AB34" s="754">
        <f t="shared" si="172"/>
        <v>298800000</v>
      </c>
      <c r="AC34" s="754">
        <f t="shared" si="172"/>
        <v>298800000</v>
      </c>
      <c r="AD34" s="754">
        <f t="shared" si="172"/>
        <v>0</v>
      </c>
      <c r="AE34" s="754">
        <f t="shared" si="172"/>
        <v>0</v>
      </c>
      <c r="AF34" s="754">
        <f t="shared" si="172"/>
        <v>0</v>
      </c>
      <c r="AG34" s="754">
        <f t="shared" si="172"/>
        <v>0</v>
      </c>
      <c r="AH34" s="754">
        <f t="shared" si="172"/>
        <v>0</v>
      </c>
      <c r="AI34" s="754">
        <f t="shared" si="172"/>
        <v>0</v>
      </c>
      <c r="AJ34" s="754">
        <f t="shared" si="172"/>
        <v>0</v>
      </c>
      <c r="AK34" s="754">
        <f t="shared" si="172"/>
        <v>0</v>
      </c>
      <c r="AL34" s="754">
        <f t="shared" si="172"/>
        <v>0</v>
      </c>
      <c r="AM34" s="754">
        <f t="shared" si="172"/>
        <v>0</v>
      </c>
      <c r="AN34" s="754">
        <f t="shared" si="172"/>
        <v>0</v>
      </c>
      <c r="AO34" s="754">
        <f t="shared" si="172"/>
        <v>0</v>
      </c>
      <c r="AP34" s="754">
        <f t="shared" si="172"/>
        <v>0</v>
      </c>
      <c r="AQ34" s="754">
        <f t="shared" si="172"/>
        <v>0</v>
      </c>
      <c r="AR34" s="754">
        <f t="shared" si="172"/>
        <v>0</v>
      </c>
      <c r="AS34" s="754">
        <f t="shared" si="172"/>
        <v>0</v>
      </c>
      <c r="AT34" s="754">
        <f t="shared" si="172"/>
        <v>0</v>
      </c>
      <c r="AU34" s="754">
        <f t="shared" si="172"/>
        <v>0</v>
      </c>
      <c r="AV34" s="754">
        <f t="shared" si="172"/>
        <v>0</v>
      </c>
      <c r="AW34" s="754">
        <f t="shared" si="172"/>
        <v>0</v>
      </c>
      <c r="AX34" s="754">
        <f t="shared" si="172"/>
        <v>0</v>
      </c>
      <c r="AY34" s="754">
        <f t="shared" si="172"/>
        <v>0</v>
      </c>
      <c r="AZ34" s="754">
        <f t="shared" si="172"/>
        <v>0</v>
      </c>
      <c r="BA34" s="754">
        <f t="shared" si="172"/>
        <v>0</v>
      </c>
      <c r="BB34" s="754">
        <f t="shared" si="172"/>
        <v>0</v>
      </c>
      <c r="BC34" s="754">
        <f t="shared" si="172"/>
        <v>0</v>
      </c>
      <c r="BD34" s="754">
        <f t="shared" si="172"/>
        <v>0</v>
      </c>
      <c r="BE34" s="754">
        <f t="shared" si="172"/>
        <v>0</v>
      </c>
      <c r="BF34" s="754">
        <f t="shared" si="172"/>
        <v>7483574.4800000004</v>
      </c>
      <c r="BG34" s="754">
        <f t="shared" si="172"/>
        <v>7483574.4800000004</v>
      </c>
      <c r="BH34" s="754">
        <f t="shared" si="172"/>
        <v>7483574.4800000004</v>
      </c>
      <c r="BI34" s="754">
        <f t="shared" si="172"/>
        <v>7483574.4800000004</v>
      </c>
      <c r="BJ34" s="754">
        <f t="shared" si="172"/>
        <v>452665000</v>
      </c>
      <c r="BK34" s="754">
        <f t="shared" si="172"/>
        <v>452665000</v>
      </c>
      <c r="BL34" s="754">
        <f t="shared" si="172"/>
        <v>133122000</v>
      </c>
      <c r="BM34" s="754">
        <f t="shared" si="172"/>
        <v>133122000</v>
      </c>
      <c r="BN34" s="754">
        <f t="shared" si="172"/>
        <v>0</v>
      </c>
      <c r="BO34" s="754">
        <f t="shared" si="172"/>
        <v>0</v>
      </c>
      <c r="BP34" s="754">
        <f t="shared" si="172"/>
        <v>0</v>
      </c>
      <c r="BQ34" s="754">
        <f t="shared" si="172"/>
        <v>0</v>
      </c>
      <c r="BR34" s="754">
        <f t="shared" si="172"/>
        <v>0</v>
      </c>
      <c r="BS34" s="754">
        <f t="shared" si="172"/>
        <v>0</v>
      </c>
      <c r="BT34" s="754">
        <f t="shared" ref="BT34:CC34" si="173">+SUM(BT35:BT42)</f>
        <v>0</v>
      </c>
      <c r="BU34" s="754">
        <f t="shared" si="173"/>
        <v>0</v>
      </c>
      <c r="BV34" s="754">
        <f t="shared" si="173"/>
        <v>222816425.52000001</v>
      </c>
      <c r="BW34" s="754">
        <f t="shared" si="173"/>
        <v>222816425.52000001</v>
      </c>
      <c r="BX34" s="754">
        <f t="shared" si="173"/>
        <v>208816425.52000001</v>
      </c>
      <c r="BY34" s="754">
        <f t="shared" si="173"/>
        <v>208816425.52000001</v>
      </c>
      <c r="BZ34" s="754">
        <f t="shared" si="173"/>
        <v>0</v>
      </c>
      <c r="CA34" s="754">
        <f t="shared" si="173"/>
        <v>0</v>
      </c>
      <c r="CB34" s="754">
        <f t="shared" si="173"/>
        <v>0</v>
      </c>
      <c r="CC34" s="754">
        <f t="shared" si="173"/>
        <v>0</v>
      </c>
      <c r="CD34" s="1179">
        <f t="shared" si="7"/>
        <v>4002665000</v>
      </c>
      <c r="CE34" s="1179">
        <f>+SUM(CE35:CE42)</f>
        <v>4001711309.7200003</v>
      </c>
      <c r="CF34" s="1179">
        <f>+'Anexo 5.2. infor Gastos mesa 55'!AA63</f>
        <v>2411249405</v>
      </c>
      <c r="CG34" s="1179">
        <f>+'Anexo 5.2. infor Gastos mesa 55'!AB63</f>
        <v>2395210350</v>
      </c>
      <c r="CH34" s="723"/>
      <c r="CI34" s="1180">
        <f t="shared" si="3"/>
        <v>0</v>
      </c>
    </row>
    <row r="35" spans="1:87" ht="39.75" thickTop="1" thickBot="1" x14ac:dyDescent="0.3">
      <c r="A35" s="444"/>
      <c r="B35" s="1184"/>
      <c r="C35" s="1184"/>
      <c r="D35" s="1184"/>
      <c r="E35" s="444"/>
      <c r="F35" s="444"/>
      <c r="G35" s="444"/>
      <c r="H35" s="686" t="s">
        <v>2310</v>
      </c>
      <c r="I35" s="1046">
        <v>0</v>
      </c>
      <c r="J35" s="687"/>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7"/>
      <c r="AP35" s="687"/>
      <c r="AQ35" s="687"/>
      <c r="AR35" s="687"/>
      <c r="AS35" s="687"/>
      <c r="AT35" s="687"/>
      <c r="AU35" s="687"/>
      <c r="AV35" s="687"/>
      <c r="AW35" s="687"/>
      <c r="AX35" s="687"/>
      <c r="AY35" s="687"/>
      <c r="AZ35" s="687"/>
      <c r="BA35" s="687"/>
      <c r="BB35" s="687"/>
      <c r="BC35" s="687"/>
      <c r="BD35" s="687"/>
      <c r="BE35" s="687"/>
      <c r="BF35" s="687"/>
      <c r="BG35" s="687"/>
      <c r="BH35" s="687"/>
      <c r="BI35" s="687"/>
      <c r="BJ35" s="687"/>
      <c r="BK35" s="687"/>
      <c r="BL35" s="687"/>
      <c r="BM35" s="687"/>
      <c r="BN35" s="687"/>
      <c r="BQ35" s="687"/>
      <c r="BR35" s="687"/>
      <c r="BS35" s="687"/>
      <c r="BT35" s="687"/>
      <c r="BU35" s="687"/>
      <c r="BV35" s="687"/>
      <c r="BW35" s="687"/>
      <c r="BX35" s="687"/>
      <c r="BY35" s="687"/>
      <c r="BZ35" s="687"/>
      <c r="CA35" s="687"/>
      <c r="CB35" s="687"/>
      <c r="CC35" s="687"/>
      <c r="CD35" s="687">
        <f t="shared" si="7"/>
        <v>0</v>
      </c>
      <c r="CE35" s="687">
        <f>+K35+O35+S35+W35+AA35+AE35+AI35+AM35+AQ35+AU35+AY35+BC35+BG35+BK35+BO35+BS35+BW35+CA35</f>
        <v>0</v>
      </c>
      <c r="CF35" s="687">
        <f>+L35+P35+T35+X35+AB35+AF35+AJ35+AN35+AR35+AV35+AZ35+BD35+BS35+BT35+CB35</f>
        <v>0</v>
      </c>
      <c r="CG35" s="687">
        <f t="shared" ref="CG35" si="174">+M35+Q35+U35+Y35+AC35+AG35+AK35+AO35+AS35+AW35+BA35+BE35+BQ35+BU35+CC35</f>
        <v>0</v>
      </c>
      <c r="CH35" s="439"/>
      <c r="CI35" s="758">
        <f t="shared" ref="CI35:CI66" si="175">+I35-CD35</f>
        <v>0</v>
      </c>
    </row>
    <row r="36" spans="1:87" ht="27" thickTop="1" thickBot="1" x14ac:dyDescent="0.3">
      <c r="A36" s="444"/>
      <c r="B36" s="444"/>
      <c r="C36" s="444"/>
      <c r="D36" s="444"/>
      <c r="E36" s="444"/>
      <c r="F36" s="444"/>
      <c r="G36" s="444"/>
      <c r="H36" s="686" t="s">
        <v>2312</v>
      </c>
      <c r="I36" s="1046">
        <v>14000000</v>
      </c>
      <c r="J36" s="687"/>
      <c r="K36" s="687"/>
      <c r="L36" s="687"/>
      <c r="M36" s="687"/>
      <c r="N36" s="687"/>
      <c r="O36" s="687"/>
      <c r="P36" s="687"/>
      <c r="Q36" s="687"/>
      <c r="R36" s="687"/>
      <c r="S36" s="687"/>
      <c r="T36" s="687"/>
      <c r="U36" s="687"/>
      <c r="V36" s="687"/>
      <c r="W36" s="687"/>
      <c r="X36" s="687"/>
      <c r="Y36" s="687"/>
      <c r="Z36" s="687"/>
      <c r="AA36" s="687"/>
      <c r="AB36" s="687"/>
      <c r="AC36" s="687"/>
      <c r="AD36" s="687"/>
      <c r="AE36" s="687"/>
      <c r="AF36" s="687"/>
      <c r="AG36" s="687"/>
      <c r="AH36" s="687"/>
      <c r="AI36" s="687"/>
      <c r="AJ36" s="687"/>
      <c r="AK36" s="687"/>
      <c r="AL36" s="687"/>
      <c r="AM36" s="687"/>
      <c r="AN36" s="687"/>
      <c r="AO36" s="687"/>
      <c r="AP36" s="687"/>
      <c r="AQ36" s="687"/>
      <c r="AR36" s="687"/>
      <c r="AS36" s="687"/>
      <c r="AT36" s="687"/>
      <c r="AU36" s="687"/>
      <c r="AV36" s="687"/>
      <c r="AW36" s="687"/>
      <c r="AX36" s="687"/>
      <c r="AY36" s="687"/>
      <c r="AZ36" s="687"/>
      <c r="BA36" s="687"/>
      <c r="BB36" s="687"/>
      <c r="BC36" s="687"/>
      <c r="BD36" s="687"/>
      <c r="BE36" s="687"/>
      <c r="BF36" s="687"/>
      <c r="BG36" s="687"/>
      <c r="BH36" s="687"/>
      <c r="BI36" s="687"/>
      <c r="BJ36" s="687"/>
      <c r="BK36" s="687"/>
      <c r="BL36" s="687"/>
      <c r="BM36" s="687"/>
      <c r="BN36" s="687"/>
      <c r="BO36" s="687"/>
      <c r="BP36" s="687"/>
      <c r="BQ36" s="687"/>
      <c r="BR36" s="687"/>
      <c r="BS36" s="687"/>
      <c r="BT36" s="687"/>
      <c r="BU36" s="687"/>
      <c r="BV36" s="687">
        <v>14000000</v>
      </c>
      <c r="BW36" s="687">
        <v>14000000</v>
      </c>
      <c r="BX36" s="687">
        <v>0</v>
      </c>
      <c r="BY36" s="687">
        <v>0</v>
      </c>
      <c r="BZ36" s="687"/>
      <c r="CA36" s="687"/>
      <c r="CB36" s="687"/>
      <c r="CC36" s="687"/>
      <c r="CD36" s="687">
        <f t="shared" si="7"/>
        <v>14000000</v>
      </c>
      <c r="CE36" s="687">
        <f t="shared" si="7"/>
        <v>14000000</v>
      </c>
      <c r="CF36" s="687"/>
      <c r="CG36" s="687"/>
      <c r="CH36" s="439"/>
      <c r="CI36" s="758">
        <f t="shared" si="175"/>
        <v>0</v>
      </c>
    </row>
    <row r="37" spans="1:87" ht="27" thickTop="1" thickBot="1" x14ac:dyDescent="0.3">
      <c r="A37" s="444"/>
      <c r="B37" s="444"/>
      <c r="C37" s="445"/>
      <c r="D37" s="445"/>
      <c r="E37" s="445"/>
      <c r="F37" s="445"/>
      <c r="G37" s="445"/>
      <c r="H37" s="686" t="s">
        <v>2314</v>
      </c>
      <c r="I37" s="1046">
        <v>452665000</v>
      </c>
      <c r="J37" s="687">
        <v>0</v>
      </c>
      <c r="K37" s="687">
        <v>0</v>
      </c>
      <c r="L37" s="687">
        <v>0</v>
      </c>
      <c r="M37" s="687">
        <v>0</v>
      </c>
      <c r="N37" s="687"/>
      <c r="O37" s="687"/>
      <c r="P37" s="687"/>
      <c r="Q37" s="687"/>
      <c r="R37" s="687"/>
      <c r="S37" s="687"/>
      <c r="T37" s="687"/>
      <c r="U37" s="687"/>
      <c r="V37" s="687"/>
      <c r="W37" s="687"/>
      <c r="X37" s="687"/>
      <c r="Y37" s="687"/>
      <c r="Z37" s="687"/>
      <c r="AA37" s="687"/>
      <c r="AB37" s="687"/>
      <c r="AC37" s="687"/>
      <c r="AD37" s="687"/>
      <c r="AE37" s="687"/>
      <c r="AF37" s="687"/>
      <c r="AG37" s="687"/>
      <c r="AH37" s="687"/>
      <c r="AI37" s="687"/>
      <c r="AJ37" s="687"/>
      <c r="AK37" s="687"/>
      <c r="AL37" s="687"/>
      <c r="AM37" s="687"/>
      <c r="AN37" s="687"/>
      <c r="AO37" s="687"/>
      <c r="AP37" s="687"/>
      <c r="AQ37" s="687"/>
      <c r="AR37" s="687"/>
      <c r="AS37" s="687"/>
      <c r="AT37" s="687"/>
      <c r="AU37" s="687"/>
      <c r="AV37" s="687"/>
      <c r="AW37" s="687"/>
      <c r="AX37" s="687"/>
      <c r="AY37" s="687"/>
      <c r="AZ37" s="687"/>
      <c r="BA37" s="687"/>
      <c r="BB37" s="687"/>
      <c r="BC37" s="687"/>
      <c r="BD37" s="687"/>
      <c r="BE37" s="687"/>
      <c r="BF37" s="687"/>
      <c r="BG37" s="687"/>
      <c r="BH37" s="687"/>
      <c r="BI37" s="687"/>
      <c r="BJ37" s="687">
        <v>452665000</v>
      </c>
      <c r="BK37" s="687">
        <v>452665000</v>
      </c>
      <c r="BL37" s="687">
        <v>133122000</v>
      </c>
      <c r="BM37" s="687">
        <v>133122000</v>
      </c>
      <c r="BO37" s="687"/>
      <c r="BP37" s="687"/>
      <c r="BQ37" s="687"/>
      <c r="BR37" s="687"/>
      <c r="BS37" s="687"/>
      <c r="BT37" s="687"/>
      <c r="BU37" s="687"/>
      <c r="BV37" s="687"/>
      <c r="BW37" s="687"/>
      <c r="BX37" s="687"/>
      <c r="BY37" s="687"/>
      <c r="BZ37" s="687"/>
      <c r="CA37" s="687"/>
      <c r="CB37" s="687"/>
      <c r="CC37" s="687"/>
      <c r="CD37" s="687">
        <f t="shared" si="7"/>
        <v>452665000</v>
      </c>
      <c r="CE37" s="687">
        <f t="shared" si="7"/>
        <v>452665000</v>
      </c>
      <c r="CF37" s="687">
        <v>133122000</v>
      </c>
      <c r="CG37" s="687">
        <v>133122000</v>
      </c>
      <c r="CH37" s="439"/>
      <c r="CI37" s="758">
        <f t="shared" si="175"/>
        <v>0</v>
      </c>
    </row>
    <row r="38" spans="1:87" ht="90.75" thickTop="1" thickBot="1" x14ac:dyDescent="0.3">
      <c r="A38" s="444"/>
      <c r="B38" s="444"/>
      <c r="C38" s="445"/>
      <c r="D38" s="445"/>
      <c r="E38" s="445"/>
      <c r="F38" s="445"/>
      <c r="G38" s="444"/>
      <c r="H38" s="686" t="s">
        <v>2316</v>
      </c>
      <c r="I38" s="1046">
        <v>900000000</v>
      </c>
      <c r="J38" s="687">
        <v>900000000</v>
      </c>
      <c r="K38" s="687">
        <v>900000000</v>
      </c>
      <c r="L38" s="687">
        <v>818822549.88000011</v>
      </c>
      <c r="M38" s="687">
        <v>802783494.25999999</v>
      </c>
      <c r="N38" s="687"/>
      <c r="O38" s="687"/>
      <c r="P38" s="687"/>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687"/>
      <c r="BC38" s="687"/>
      <c r="BD38" s="687"/>
      <c r="BE38" s="687"/>
      <c r="BF38" s="687"/>
      <c r="BG38" s="687"/>
      <c r="BH38" s="687"/>
      <c r="BI38" s="687"/>
      <c r="BJ38" s="687"/>
      <c r="BK38" s="687"/>
      <c r="BL38" s="687"/>
      <c r="BM38" s="687"/>
      <c r="BN38" s="687"/>
      <c r="BO38" s="687"/>
      <c r="BP38" s="687"/>
      <c r="BQ38" s="687"/>
      <c r="BR38" s="687"/>
      <c r="BS38" s="687"/>
      <c r="BT38" s="687"/>
      <c r="BU38" s="687"/>
      <c r="BV38" s="687"/>
      <c r="BW38" s="687"/>
      <c r="BX38" s="687"/>
      <c r="BY38" s="687"/>
      <c r="BZ38" s="687"/>
      <c r="CA38" s="687"/>
      <c r="CB38" s="687"/>
      <c r="CC38" s="687"/>
      <c r="CD38" s="687">
        <f t="shared" si="7"/>
        <v>900000000</v>
      </c>
      <c r="CE38" s="687">
        <f t="shared" si="7"/>
        <v>900000000</v>
      </c>
      <c r="CF38" s="687">
        <f>1418822549.88-CF39-CF41</f>
        <v>818822549.88000011</v>
      </c>
      <c r="CG38" s="687">
        <f>1402783494.26-CG39-CG41</f>
        <v>802783494.25999999</v>
      </c>
      <c r="CH38" s="439"/>
      <c r="CI38" s="758">
        <f t="shared" si="175"/>
        <v>0</v>
      </c>
    </row>
    <row r="39" spans="1:87" ht="27" thickTop="1" thickBot="1" x14ac:dyDescent="0.3">
      <c r="A39" s="444"/>
      <c r="B39" s="444"/>
      <c r="C39" s="445"/>
      <c r="D39" s="445"/>
      <c r="E39" s="445"/>
      <c r="F39" s="445"/>
      <c r="G39" s="445"/>
      <c r="H39" s="686" t="s">
        <v>2318</v>
      </c>
      <c r="I39" s="1046">
        <v>200000000</v>
      </c>
      <c r="J39" s="687">
        <v>200000000</v>
      </c>
      <c r="K39" s="687">
        <v>200000000</v>
      </c>
      <c r="L39" s="687">
        <v>200000000</v>
      </c>
      <c r="M39" s="687">
        <v>200000000</v>
      </c>
      <c r="N39" s="687"/>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c r="AW39" s="687"/>
      <c r="AX39" s="687"/>
      <c r="AY39" s="687"/>
      <c r="AZ39" s="687"/>
      <c r="BA39" s="687"/>
      <c r="BB39" s="687"/>
      <c r="BC39" s="687"/>
      <c r="BD39" s="687"/>
      <c r="BE39" s="687"/>
      <c r="BF39" s="687"/>
      <c r="BG39" s="687"/>
      <c r="BH39" s="687"/>
      <c r="BI39" s="687"/>
      <c r="BJ39" s="687"/>
      <c r="BK39" s="687"/>
      <c r="BL39" s="687"/>
      <c r="BM39" s="687"/>
      <c r="BN39" s="687"/>
      <c r="BO39" s="687"/>
      <c r="BP39" s="687"/>
      <c r="BQ39" s="687"/>
      <c r="BR39" s="687"/>
      <c r="BS39" s="687"/>
      <c r="BT39" s="687"/>
      <c r="BU39" s="687"/>
      <c r="BV39" s="687"/>
      <c r="BW39" s="687"/>
      <c r="BX39" s="687"/>
      <c r="BY39" s="687"/>
      <c r="BZ39" s="687"/>
      <c r="CA39" s="687"/>
      <c r="CB39" s="687"/>
      <c r="CC39" s="687"/>
      <c r="CD39" s="687">
        <f t="shared" si="7"/>
        <v>200000000</v>
      </c>
      <c r="CE39" s="687">
        <f t="shared" si="7"/>
        <v>200000000</v>
      </c>
      <c r="CF39" s="687">
        <v>200000000</v>
      </c>
      <c r="CG39" s="687">
        <f>+CF39</f>
        <v>200000000</v>
      </c>
      <c r="CH39" s="439"/>
      <c r="CI39" s="758">
        <f t="shared" si="175"/>
        <v>0</v>
      </c>
    </row>
    <row r="40" spans="1:87" ht="52.5" thickTop="1" thickBot="1" x14ac:dyDescent="0.3">
      <c r="A40" s="444"/>
      <c r="B40" s="444"/>
      <c r="C40" s="444"/>
      <c r="D40" s="444"/>
      <c r="E40" s="444"/>
      <c r="F40" s="444"/>
      <c r="G40" s="444"/>
      <c r="H40" s="686" t="s">
        <v>2319</v>
      </c>
      <c r="I40" s="1046">
        <v>236000000</v>
      </c>
      <c r="J40" s="687">
        <v>236000000</v>
      </c>
      <c r="K40" s="687">
        <v>235046309.72</v>
      </c>
      <c r="L40" s="687">
        <v>0</v>
      </c>
      <c r="M40" s="687">
        <v>0</v>
      </c>
      <c r="N40" s="687"/>
      <c r="O40" s="687"/>
      <c r="P40" s="687"/>
      <c r="Q40" s="687"/>
      <c r="R40" s="687"/>
      <c r="S40" s="687"/>
      <c r="T40" s="687"/>
      <c r="U40" s="687"/>
      <c r="V40" s="687"/>
      <c r="W40" s="687"/>
      <c r="X40" s="687"/>
      <c r="Y40" s="687"/>
      <c r="Z40" s="687"/>
      <c r="AA40" s="687"/>
      <c r="AB40" s="687"/>
      <c r="AC40" s="687"/>
      <c r="AD40" s="687"/>
      <c r="AE40" s="687"/>
      <c r="AF40" s="687"/>
      <c r="AG40" s="687"/>
      <c r="AH40" s="687"/>
      <c r="AI40" s="687"/>
      <c r="AJ40" s="687"/>
      <c r="AK40" s="687"/>
      <c r="AL40" s="687"/>
      <c r="AM40" s="687"/>
      <c r="AN40" s="687"/>
      <c r="AO40" s="687"/>
      <c r="AP40" s="687"/>
      <c r="AQ40" s="687"/>
      <c r="AR40" s="687"/>
      <c r="AS40" s="687"/>
      <c r="AT40" s="687"/>
      <c r="AU40" s="687"/>
      <c r="AV40" s="687"/>
      <c r="AW40" s="687"/>
      <c r="AX40" s="687"/>
      <c r="AY40" s="687"/>
      <c r="AZ40" s="687"/>
      <c r="BA40" s="687"/>
      <c r="BB40" s="687"/>
      <c r="BC40" s="687"/>
      <c r="BD40" s="687"/>
      <c r="BE40" s="687"/>
      <c r="BF40" s="687"/>
      <c r="BG40" s="687"/>
      <c r="BH40" s="687"/>
      <c r="BI40" s="687"/>
      <c r="BJ40" s="687"/>
      <c r="BK40" s="687"/>
      <c r="BL40" s="687"/>
      <c r="BM40" s="687"/>
      <c r="BN40" s="687"/>
      <c r="BO40" s="687"/>
      <c r="BP40" s="687"/>
      <c r="BQ40" s="687"/>
      <c r="BR40" s="687"/>
      <c r="BS40" s="687"/>
      <c r="BT40" s="687"/>
      <c r="BU40" s="687"/>
      <c r="BV40" s="687"/>
      <c r="BW40" s="687"/>
      <c r="BX40" s="687"/>
      <c r="BY40" s="687"/>
      <c r="BZ40" s="687"/>
      <c r="CA40" s="687"/>
      <c r="CB40" s="687"/>
      <c r="CC40" s="687"/>
      <c r="CD40" s="687">
        <f t="shared" si="7"/>
        <v>236000000</v>
      </c>
      <c r="CE40" s="687">
        <f t="shared" si="7"/>
        <v>235046309.72</v>
      </c>
      <c r="CF40" s="687"/>
      <c r="CG40" s="687"/>
      <c r="CH40" s="439"/>
      <c r="CI40" s="758">
        <f t="shared" si="175"/>
        <v>0</v>
      </c>
    </row>
    <row r="41" spans="1:87" ht="39.75" thickTop="1" thickBot="1" x14ac:dyDescent="0.3">
      <c r="A41" s="444"/>
      <c r="B41" s="444"/>
      <c r="C41" s="445"/>
      <c r="D41" s="444"/>
      <c r="E41" s="445"/>
      <c r="F41" s="445"/>
      <c r="G41" s="444"/>
      <c r="H41" s="686" t="s">
        <v>2322</v>
      </c>
      <c r="I41" s="1046">
        <v>400000000</v>
      </c>
      <c r="J41" s="687">
        <v>400000000</v>
      </c>
      <c r="K41" s="687">
        <v>400000000</v>
      </c>
      <c r="L41" s="687">
        <v>400000000</v>
      </c>
      <c r="M41" s="687">
        <v>400000000</v>
      </c>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7"/>
      <c r="AQ41" s="687"/>
      <c r="AR41" s="687"/>
      <c r="AS41" s="687"/>
      <c r="AT41" s="687"/>
      <c r="AU41" s="687"/>
      <c r="AV41" s="687"/>
      <c r="AW41" s="687"/>
      <c r="AX41" s="687"/>
      <c r="AY41" s="687"/>
      <c r="AZ41" s="687"/>
      <c r="BA41" s="687"/>
      <c r="BB41" s="687"/>
      <c r="BC41" s="687"/>
      <c r="BD41" s="687"/>
      <c r="BE41" s="687"/>
      <c r="BF41" s="687"/>
      <c r="BG41" s="687"/>
      <c r="BH41" s="687"/>
      <c r="BI41" s="687"/>
      <c r="BJ41" s="687"/>
      <c r="BK41" s="687"/>
      <c r="BL41" s="687"/>
      <c r="BM41" s="687"/>
      <c r="BN41" s="687"/>
      <c r="BO41" s="687"/>
      <c r="BP41" s="687"/>
      <c r="BQ41" s="687"/>
      <c r="BR41" s="687"/>
      <c r="BS41" s="687"/>
      <c r="BT41" s="687"/>
      <c r="BU41" s="687"/>
      <c r="BV41" s="687"/>
      <c r="BW41" s="687"/>
      <c r="BX41" s="687"/>
      <c r="BY41" s="687"/>
      <c r="BZ41" s="687"/>
      <c r="CA41" s="687"/>
      <c r="CB41" s="687"/>
      <c r="CC41" s="687"/>
      <c r="CD41" s="687">
        <f t="shared" si="7"/>
        <v>400000000</v>
      </c>
      <c r="CE41" s="687">
        <f t="shared" si="7"/>
        <v>400000000</v>
      </c>
      <c r="CF41" s="687">
        <v>400000000</v>
      </c>
      <c r="CG41" s="687">
        <f>+CF41</f>
        <v>400000000</v>
      </c>
      <c r="CH41" s="439"/>
      <c r="CI41" s="758">
        <f t="shared" si="175"/>
        <v>0</v>
      </c>
    </row>
    <row r="42" spans="1:87" ht="52.5" thickTop="1" thickBot="1" x14ac:dyDescent="0.3">
      <c r="A42" s="1187"/>
      <c r="B42" s="1187"/>
      <c r="C42" s="1187"/>
      <c r="D42" s="1187"/>
      <c r="E42" s="1187"/>
      <c r="F42" s="1187"/>
      <c r="G42" s="472"/>
      <c r="H42" s="686" t="s">
        <v>2325</v>
      </c>
      <c r="I42" s="1046">
        <v>1800000000</v>
      </c>
      <c r="J42" s="687">
        <v>1284900000</v>
      </c>
      <c r="K42" s="687">
        <v>1284900000</v>
      </c>
      <c r="L42" s="687">
        <v>344204854.97000003</v>
      </c>
      <c r="M42" s="687">
        <v>344204854.97000003</v>
      </c>
      <c r="N42" s="687"/>
      <c r="O42" s="687"/>
      <c r="P42" s="687"/>
      <c r="Q42" s="687"/>
      <c r="R42" s="687"/>
      <c r="S42" s="687"/>
      <c r="T42" s="687"/>
      <c r="U42" s="687"/>
      <c r="V42" s="687"/>
      <c r="W42" s="687"/>
      <c r="X42" s="687"/>
      <c r="Y42" s="687"/>
      <c r="Z42" s="687">
        <v>298800000</v>
      </c>
      <c r="AA42" s="687">
        <v>298800000</v>
      </c>
      <c r="AB42" s="687">
        <v>298800000</v>
      </c>
      <c r="AC42" s="687">
        <v>298800000</v>
      </c>
      <c r="AD42" s="687"/>
      <c r="AE42" s="687"/>
      <c r="AF42" s="687"/>
      <c r="AG42" s="687"/>
      <c r="AH42" s="687"/>
      <c r="AI42" s="687"/>
      <c r="AJ42" s="687"/>
      <c r="AK42" s="687"/>
      <c r="AL42" s="687"/>
      <c r="AM42" s="687"/>
      <c r="AN42" s="687"/>
      <c r="AO42" s="687"/>
      <c r="AP42" s="687"/>
      <c r="AQ42" s="687"/>
      <c r="AR42" s="687"/>
      <c r="AS42" s="687"/>
      <c r="AT42" s="687"/>
      <c r="AU42" s="687"/>
      <c r="AV42" s="687"/>
      <c r="AW42" s="687"/>
      <c r="AX42" s="687"/>
      <c r="AY42" s="687"/>
      <c r="AZ42" s="687"/>
      <c r="BA42" s="687"/>
      <c r="BB42" s="687"/>
      <c r="BC42" s="687"/>
      <c r="BD42" s="687"/>
      <c r="BE42" s="687"/>
      <c r="BF42" s="687">
        <v>7483574.4800000004</v>
      </c>
      <c r="BG42" s="687">
        <v>7483574.4800000004</v>
      </c>
      <c r="BH42" s="687">
        <v>7483574.4800000004</v>
      </c>
      <c r="BI42" s="687">
        <v>7483574.4800000004</v>
      </c>
      <c r="BJ42" s="687"/>
      <c r="BK42" s="687"/>
      <c r="BL42" s="687"/>
      <c r="BM42" s="687"/>
      <c r="BN42" s="687"/>
      <c r="BO42" s="687"/>
      <c r="BP42" s="687"/>
      <c r="BQ42" s="687"/>
      <c r="BR42" s="687"/>
      <c r="BS42" s="687"/>
      <c r="BT42" s="687"/>
      <c r="BU42" s="687"/>
      <c r="BV42" s="687">
        <v>208816425.52000001</v>
      </c>
      <c r="BW42" s="687">
        <v>208816425.52000001</v>
      </c>
      <c r="BX42" s="687">
        <v>208816425.52000001</v>
      </c>
      <c r="BY42" s="687">
        <v>208816425.52000001</v>
      </c>
      <c r="BZ42" s="687"/>
      <c r="CA42" s="687"/>
      <c r="CB42" s="687"/>
      <c r="CC42" s="687"/>
      <c r="CD42" s="687">
        <f t="shared" si="7"/>
        <v>1800000000</v>
      </c>
      <c r="CE42" s="687">
        <f t="shared" si="7"/>
        <v>1800000000</v>
      </c>
      <c r="CF42" s="687">
        <v>859304854.97000003</v>
      </c>
      <c r="CG42" s="687">
        <v>859304854.97000003</v>
      </c>
      <c r="CH42" s="439"/>
      <c r="CI42" s="758">
        <f t="shared" si="175"/>
        <v>0</v>
      </c>
    </row>
    <row r="43" spans="1:87" ht="16.5" thickTop="1" thickBot="1" x14ac:dyDescent="0.3">
      <c r="A43" s="719"/>
      <c r="B43" s="720"/>
      <c r="C43" s="711"/>
      <c r="D43" s="711"/>
      <c r="E43" s="711"/>
      <c r="F43" s="711"/>
      <c r="G43" s="720"/>
      <c r="H43" s="721" t="s">
        <v>2161</v>
      </c>
      <c r="I43" s="754">
        <f t="shared" ref="I43:BS43" si="176">+SUM(I44:I49)</f>
        <v>798700000</v>
      </c>
      <c r="J43" s="754">
        <f t="shared" si="176"/>
        <v>697800000</v>
      </c>
      <c r="K43" s="754">
        <f t="shared" si="176"/>
        <v>696978800</v>
      </c>
      <c r="L43" s="754">
        <f t="shared" si="176"/>
        <v>183800000</v>
      </c>
      <c r="M43" s="754">
        <f t="shared" si="176"/>
        <v>0</v>
      </c>
      <c r="N43" s="754">
        <f t="shared" si="176"/>
        <v>0</v>
      </c>
      <c r="O43" s="754">
        <f t="shared" si="176"/>
        <v>0</v>
      </c>
      <c r="P43" s="754">
        <f t="shared" si="176"/>
        <v>0</v>
      </c>
      <c r="Q43" s="754">
        <f t="shared" si="176"/>
        <v>0</v>
      </c>
      <c r="R43" s="754">
        <f t="shared" si="176"/>
        <v>0</v>
      </c>
      <c r="S43" s="754">
        <f t="shared" si="176"/>
        <v>0</v>
      </c>
      <c r="T43" s="754">
        <f t="shared" si="176"/>
        <v>0</v>
      </c>
      <c r="U43" s="754">
        <f t="shared" si="176"/>
        <v>0</v>
      </c>
      <c r="V43" s="754">
        <f t="shared" si="176"/>
        <v>0</v>
      </c>
      <c r="W43" s="754">
        <f t="shared" si="176"/>
        <v>0</v>
      </c>
      <c r="X43" s="754">
        <f t="shared" si="176"/>
        <v>0</v>
      </c>
      <c r="Y43" s="754">
        <f t="shared" si="176"/>
        <v>0</v>
      </c>
      <c r="Z43" s="754">
        <f t="shared" si="176"/>
        <v>0</v>
      </c>
      <c r="AA43" s="754">
        <f t="shared" si="176"/>
        <v>0</v>
      </c>
      <c r="AB43" s="754">
        <f t="shared" si="176"/>
        <v>0</v>
      </c>
      <c r="AC43" s="754">
        <f t="shared" si="176"/>
        <v>0</v>
      </c>
      <c r="AD43" s="754">
        <f t="shared" si="176"/>
        <v>0</v>
      </c>
      <c r="AE43" s="754">
        <f t="shared" si="176"/>
        <v>0</v>
      </c>
      <c r="AF43" s="754">
        <f t="shared" si="176"/>
        <v>0</v>
      </c>
      <c r="AG43" s="754">
        <f t="shared" si="176"/>
        <v>0</v>
      </c>
      <c r="AH43" s="754">
        <f t="shared" si="176"/>
        <v>0</v>
      </c>
      <c r="AI43" s="754">
        <f t="shared" si="176"/>
        <v>0</v>
      </c>
      <c r="AJ43" s="754">
        <f t="shared" si="176"/>
        <v>0</v>
      </c>
      <c r="AK43" s="754">
        <f t="shared" si="176"/>
        <v>0</v>
      </c>
      <c r="AL43" s="754">
        <f t="shared" si="176"/>
        <v>0</v>
      </c>
      <c r="AM43" s="754">
        <f t="shared" si="176"/>
        <v>0</v>
      </c>
      <c r="AN43" s="754">
        <f t="shared" si="176"/>
        <v>0</v>
      </c>
      <c r="AO43" s="754">
        <f t="shared" si="176"/>
        <v>0</v>
      </c>
      <c r="AP43" s="754">
        <f t="shared" si="176"/>
        <v>900000</v>
      </c>
      <c r="AQ43" s="754">
        <f t="shared" si="176"/>
        <v>900000</v>
      </c>
      <c r="AR43" s="754">
        <f t="shared" si="176"/>
        <v>900000</v>
      </c>
      <c r="AS43" s="754">
        <f t="shared" si="176"/>
        <v>0</v>
      </c>
      <c r="AT43" s="754">
        <f t="shared" si="176"/>
        <v>0</v>
      </c>
      <c r="AU43" s="754">
        <f t="shared" si="176"/>
        <v>0</v>
      </c>
      <c r="AV43" s="754">
        <f t="shared" si="176"/>
        <v>0</v>
      </c>
      <c r="AW43" s="754">
        <f t="shared" si="176"/>
        <v>0</v>
      </c>
      <c r="AX43" s="754">
        <f t="shared" si="176"/>
        <v>0</v>
      </c>
      <c r="AY43" s="754">
        <f t="shared" si="176"/>
        <v>0</v>
      </c>
      <c r="AZ43" s="754">
        <f t="shared" si="176"/>
        <v>0</v>
      </c>
      <c r="BA43" s="754">
        <f t="shared" si="176"/>
        <v>0</v>
      </c>
      <c r="BB43" s="754">
        <f t="shared" si="176"/>
        <v>0</v>
      </c>
      <c r="BC43" s="754">
        <f t="shared" si="176"/>
        <v>0</v>
      </c>
      <c r="BD43" s="754">
        <f t="shared" si="176"/>
        <v>0</v>
      </c>
      <c r="BE43" s="754">
        <f t="shared" si="176"/>
        <v>0</v>
      </c>
      <c r="BF43" s="754">
        <f t="shared" si="176"/>
        <v>0</v>
      </c>
      <c r="BG43" s="754">
        <f t="shared" si="176"/>
        <v>0</v>
      </c>
      <c r="BH43" s="754">
        <f t="shared" si="176"/>
        <v>0</v>
      </c>
      <c r="BI43" s="754">
        <f t="shared" si="176"/>
        <v>0</v>
      </c>
      <c r="BJ43" s="754">
        <f t="shared" si="176"/>
        <v>0</v>
      </c>
      <c r="BK43" s="754">
        <f t="shared" si="176"/>
        <v>0</v>
      </c>
      <c r="BL43" s="754">
        <f t="shared" si="176"/>
        <v>0</v>
      </c>
      <c r="BM43" s="754">
        <f t="shared" si="176"/>
        <v>0</v>
      </c>
      <c r="BN43" s="754">
        <f t="shared" si="176"/>
        <v>0</v>
      </c>
      <c r="BO43" s="754">
        <f t="shared" si="176"/>
        <v>0</v>
      </c>
      <c r="BP43" s="754">
        <f t="shared" si="176"/>
        <v>0</v>
      </c>
      <c r="BQ43" s="754">
        <f t="shared" si="176"/>
        <v>0</v>
      </c>
      <c r="BR43" s="754">
        <f t="shared" si="176"/>
        <v>0</v>
      </c>
      <c r="BS43" s="754">
        <f t="shared" si="176"/>
        <v>0</v>
      </c>
      <c r="BT43" s="754">
        <f t="shared" ref="BT43:CC43" si="177">+SUM(BT44:BT49)</f>
        <v>0</v>
      </c>
      <c r="BU43" s="754">
        <f t="shared" si="177"/>
        <v>0</v>
      </c>
      <c r="BV43" s="754">
        <f t="shared" si="177"/>
        <v>100000000</v>
      </c>
      <c r="BW43" s="754">
        <f t="shared" si="177"/>
        <v>50738800</v>
      </c>
      <c r="BX43" s="754">
        <f t="shared" si="177"/>
        <v>738800</v>
      </c>
      <c r="BY43" s="754">
        <f t="shared" si="177"/>
        <v>0</v>
      </c>
      <c r="BZ43" s="754">
        <f t="shared" si="177"/>
        <v>0</v>
      </c>
      <c r="CA43" s="754">
        <f t="shared" si="177"/>
        <v>0</v>
      </c>
      <c r="CB43" s="754">
        <f t="shared" si="177"/>
        <v>0</v>
      </c>
      <c r="CC43" s="754">
        <f t="shared" si="177"/>
        <v>0</v>
      </c>
      <c r="CD43" s="722">
        <f t="shared" si="7"/>
        <v>798700000</v>
      </c>
      <c r="CE43" s="722">
        <f>+K43+O43+S43+W43+AA43+AE43+AI43+AM43+AQ43+AU43+AY43+BC43+BO43+BS43+CA43+BW43</f>
        <v>748617600</v>
      </c>
      <c r="CF43" s="722">
        <f>+'Anexo 5.2. infor Gastos mesa 55'!AA64</f>
        <v>185438800</v>
      </c>
      <c r="CG43" s="722">
        <f>+'Anexo 5.2. infor Gastos mesa 55'!AB64</f>
        <v>0</v>
      </c>
      <c r="CH43" s="723"/>
      <c r="CI43" s="758">
        <f t="shared" si="175"/>
        <v>0</v>
      </c>
    </row>
    <row r="44" spans="1:87" ht="27" thickTop="1" thickBot="1" x14ac:dyDescent="0.3">
      <c r="A44" s="444"/>
      <c r="B44" s="445"/>
      <c r="C44" s="445"/>
      <c r="D44" s="445"/>
      <c r="E44" s="445"/>
      <c r="F44" s="445"/>
      <c r="G44" s="445"/>
      <c r="H44" s="686" t="s">
        <v>2327</v>
      </c>
      <c r="I44" s="1046">
        <v>50000000</v>
      </c>
      <c r="J44" s="687">
        <v>50000000</v>
      </c>
      <c r="K44" s="687">
        <v>50000000</v>
      </c>
      <c r="L44" s="687">
        <v>0</v>
      </c>
      <c r="M44" s="687">
        <v>0</v>
      </c>
      <c r="N44" s="687"/>
      <c r="O44" s="687"/>
      <c r="P44" s="687"/>
      <c r="Q44" s="687"/>
      <c r="R44" s="687"/>
      <c r="S44" s="687"/>
      <c r="T44" s="687"/>
      <c r="U44" s="687"/>
      <c r="V44" s="687"/>
      <c r="W44" s="687"/>
      <c r="X44" s="687"/>
      <c r="Y44" s="687"/>
      <c r="Z44" s="687"/>
      <c r="AA44" s="687"/>
      <c r="AB44" s="687"/>
      <c r="AC44" s="687"/>
      <c r="AD44" s="687"/>
      <c r="AE44" s="687"/>
      <c r="AF44" s="687"/>
      <c r="AG44" s="687"/>
      <c r="AH44" s="687"/>
      <c r="AI44" s="687"/>
      <c r="AJ44" s="687"/>
      <c r="AK44" s="687"/>
      <c r="AL44" s="687"/>
      <c r="AM44" s="687"/>
      <c r="AN44" s="687"/>
      <c r="AO44" s="687"/>
      <c r="AP44" s="687"/>
      <c r="AQ44" s="687"/>
      <c r="AR44" s="687"/>
      <c r="AS44" s="687"/>
      <c r="AT44" s="687"/>
      <c r="AU44" s="687"/>
      <c r="AV44" s="687"/>
      <c r="AW44" s="687"/>
      <c r="AX44" s="687"/>
      <c r="AY44" s="687"/>
      <c r="AZ44" s="687"/>
      <c r="BA44" s="687"/>
      <c r="BB44" s="687"/>
      <c r="BC44" s="687"/>
      <c r="BD44" s="687"/>
      <c r="BE44" s="687"/>
      <c r="BF44" s="687"/>
      <c r="BG44" s="687"/>
      <c r="BH44" s="687"/>
      <c r="BI44" s="687"/>
      <c r="BJ44" s="687"/>
      <c r="BK44" s="687"/>
      <c r="BL44" s="687"/>
      <c r="BM44" s="687"/>
      <c r="BN44" s="687"/>
      <c r="BQ44" s="687"/>
      <c r="BR44" s="687"/>
      <c r="BS44" s="687"/>
      <c r="BT44" s="687"/>
      <c r="BU44" s="687"/>
      <c r="BV44" s="687"/>
      <c r="BW44" s="687"/>
      <c r="BX44" s="687"/>
      <c r="BY44" s="687"/>
      <c r="BZ44" s="687"/>
      <c r="CA44" s="687"/>
      <c r="CB44" s="687"/>
      <c r="CC44" s="687"/>
      <c r="CD44" s="687">
        <f t="shared" si="7"/>
        <v>50000000</v>
      </c>
      <c r="CE44" s="687">
        <f t="shared" ref="CE44:CE48" si="178">+K44+O44+S44+W44+AA44+AE44+AI44+AM44+AQ44+AU44+AY44+BC44+BO44+BS44+CA44</f>
        <v>50000000</v>
      </c>
      <c r="CF44" s="1195"/>
      <c r="CG44" s="1195"/>
      <c r="CH44" s="439"/>
      <c r="CI44" s="758">
        <f t="shared" si="175"/>
        <v>0</v>
      </c>
    </row>
    <row r="45" spans="1:87" ht="39.75" thickTop="1" thickBot="1" x14ac:dyDescent="0.3">
      <c r="A45" s="444"/>
      <c r="B45" s="444"/>
      <c r="C45" s="445"/>
      <c r="D45" s="445"/>
      <c r="E45" s="445"/>
      <c r="F45" s="445"/>
      <c r="G45" s="444"/>
      <c r="H45" s="686" t="s">
        <v>2330</v>
      </c>
      <c r="I45" s="1046">
        <v>50000000</v>
      </c>
      <c r="J45" s="687">
        <v>50000000</v>
      </c>
      <c r="K45" s="687">
        <v>50000000</v>
      </c>
      <c r="L45" s="687">
        <v>0</v>
      </c>
      <c r="M45" s="687">
        <v>0</v>
      </c>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7"/>
      <c r="AQ45" s="687"/>
      <c r="AR45" s="687"/>
      <c r="AS45" s="687"/>
      <c r="AT45" s="687"/>
      <c r="AU45" s="687"/>
      <c r="AV45" s="687"/>
      <c r="AW45" s="687"/>
      <c r="AX45" s="687"/>
      <c r="AY45" s="687"/>
      <c r="AZ45" s="687"/>
      <c r="BA45" s="687"/>
      <c r="BB45" s="687"/>
      <c r="BC45" s="687"/>
      <c r="BD45" s="687"/>
      <c r="BE45" s="687"/>
      <c r="BF45" s="687"/>
      <c r="BG45" s="687"/>
      <c r="BH45" s="687"/>
      <c r="BI45" s="687"/>
      <c r="BJ45" s="687"/>
      <c r="BK45" s="687"/>
      <c r="BL45" s="687"/>
      <c r="BM45" s="687"/>
      <c r="BN45" s="687"/>
      <c r="BO45" s="687"/>
      <c r="BP45" s="687"/>
      <c r="BQ45" s="687"/>
      <c r="BR45" s="687"/>
      <c r="BS45" s="687"/>
      <c r="BT45" s="687"/>
      <c r="BU45" s="687"/>
      <c r="BV45" s="687"/>
      <c r="BW45" s="687"/>
      <c r="BX45" s="687"/>
      <c r="BY45" s="687"/>
      <c r="BZ45" s="687"/>
      <c r="CA45" s="687"/>
      <c r="CB45" s="687"/>
      <c r="CC45" s="687"/>
      <c r="CD45" s="687">
        <f t="shared" si="7"/>
        <v>50000000</v>
      </c>
      <c r="CE45" s="687">
        <f t="shared" si="178"/>
        <v>50000000</v>
      </c>
      <c r="CF45" s="1195"/>
      <c r="CG45" s="1195"/>
      <c r="CH45" s="439"/>
      <c r="CI45" s="758">
        <f t="shared" si="175"/>
        <v>0</v>
      </c>
    </row>
    <row r="46" spans="1:87" ht="27" thickTop="1" thickBot="1" x14ac:dyDescent="0.3">
      <c r="A46" s="444"/>
      <c r="B46" s="444"/>
      <c r="C46" s="445"/>
      <c r="D46" s="445"/>
      <c r="E46" s="445"/>
      <c r="F46" s="445"/>
      <c r="G46" s="445"/>
      <c r="H46" s="686" t="s">
        <v>2332</v>
      </c>
      <c r="I46" s="1046">
        <v>185438800</v>
      </c>
      <c r="J46" s="687">
        <v>183800000</v>
      </c>
      <c r="K46" s="687">
        <v>183800000</v>
      </c>
      <c r="L46" s="687">
        <v>183800000</v>
      </c>
      <c r="M46" s="687">
        <v>0</v>
      </c>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7">
        <v>900000</v>
      </c>
      <c r="AQ46" s="687">
        <v>900000</v>
      </c>
      <c r="AR46" s="687">
        <v>900000</v>
      </c>
      <c r="AS46" s="687">
        <v>0</v>
      </c>
      <c r="AT46" s="687"/>
      <c r="AU46" s="687"/>
      <c r="AV46" s="687"/>
      <c r="AW46" s="687"/>
      <c r="AX46" s="687"/>
      <c r="AY46" s="687"/>
      <c r="AZ46" s="687"/>
      <c r="BA46" s="687"/>
      <c r="BB46" s="687"/>
      <c r="BC46" s="687"/>
      <c r="BD46" s="687"/>
      <c r="BE46" s="687"/>
      <c r="BF46" s="687"/>
      <c r="BG46" s="687"/>
      <c r="BH46" s="687"/>
      <c r="BI46" s="687"/>
      <c r="BJ46" s="687"/>
      <c r="BK46" s="687"/>
      <c r="BL46" s="687"/>
      <c r="BM46" s="687"/>
      <c r="BN46" s="687"/>
      <c r="BO46" s="687"/>
      <c r="BP46" s="687"/>
      <c r="BQ46" s="687"/>
      <c r="BR46" s="687"/>
      <c r="BS46" s="687"/>
      <c r="BT46" s="687"/>
      <c r="BU46" s="687"/>
      <c r="BV46" s="687">
        <v>738800</v>
      </c>
      <c r="BW46" s="687">
        <v>738800</v>
      </c>
      <c r="BX46" s="687">
        <v>738800</v>
      </c>
      <c r="BY46" s="687">
        <v>0</v>
      </c>
      <c r="BZ46" s="687"/>
      <c r="CA46" s="687"/>
      <c r="CB46" s="687"/>
      <c r="CC46" s="687"/>
      <c r="CD46" s="687">
        <f t="shared" si="7"/>
        <v>185438800</v>
      </c>
      <c r="CE46" s="687">
        <f>+K46+O46+S46+W46+AA46+AE46+AI46+AM46+AQ46+AU46+AY46+BC46+BO46+BS46+CA46+BW46</f>
        <v>185438800</v>
      </c>
      <c r="CF46" s="687">
        <v>185438800</v>
      </c>
      <c r="CG46" s="1195"/>
      <c r="CH46" s="439"/>
      <c r="CI46" s="758">
        <f t="shared" si="175"/>
        <v>0</v>
      </c>
    </row>
    <row r="47" spans="1:87" ht="39.75" thickTop="1" thickBot="1" x14ac:dyDescent="0.3">
      <c r="A47" s="444"/>
      <c r="B47" s="444"/>
      <c r="C47" s="445"/>
      <c r="D47" s="445"/>
      <c r="E47" s="445"/>
      <c r="F47" s="445"/>
      <c r="G47" s="444"/>
      <c r="H47" s="686" t="s">
        <v>2335</v>
      </c>
      <c r="I47" s="1046">
        <v>50000000</v>
      </c>
      <c r="J47" s="687">
        <v>50000000</v>
      </c>
      <c r="K47" s="687">
        <v>50000000</v>
      </c>
      <c r="L47" s="687">
        <v>0</v>
      </c>
      <c r="M47" s="687">
        <v>0</v>
      </c>
      <c r="N47" s="687"/>
      <c r="O47" s="687"/>
      <c r="P47" s="687"/>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7"/>
      <c r="AQ47" s="687"/>
      <c r="AR47" s="687"/>
      <c r="AS47" s="687"/>
      <c r="AT47" s="687"/>
      <c r="AU47" s="687"/>
      <c r="AV47" s="687"/>
      <c r="AW47" s="687"/>
      <c r="AX47" s="687"/>
      <c r="AY47" s="687"/>
      <c r="AZ47" s="687"/>
      <c r="BA47" s="687"/>
      <c r="BB47" s="687"/>
      <c r="BC47" s="687"/>
      <c r="BD47" s="687"/>
      <c r="BE47" s="687"/>
      <c r="BF47" s="687"/>
      <c r="BG47" s="687"/>
      <c r="BH47" s="687"/>
      <c r="BI47" s="687"/>
      <c r="BJ47" s="687"/>
      <c r="BK47" s="687"/>
      <c r="BL47" s="687"/>
      <c r="BM47" s="687"/>
      <c r="BN47" s="687"/>
      <c r="BO47" s="687"/>
      <c r="BP47" s="687"/>
      <c r="BQ47" s="687"/>
      <c r="BR47" s="687"/>
      <c r="BS47" s="687"/>
      <c r="BT47" s="687"/>
      <c r="BU47" s="687"/>
      <c r="BV47" s="687"/>
      <c r="BW47" s="687"/>
      <c r="BX47" s="687"/>
      <c r="BY47" s="687"/>
      <c r="BZ47" s="687"/>
      <c r="CA47" s="687"/>
      <c r="CB47" s="687"/>
      <c r="CC47" s="687"/>
      <c r="CD47" s="687">
        <f t="shared" si="7"/>
        <v>50000000</v>
      </c>
      <c r="CE47" s="687">
        <f t="shared" si="178"/>
        <v>50000000</v>
      </c>
      <c r="CF47" s="1195"/>
      <c r="CG47" s="1195"/>
      <c r="CH47" s="439"/>
      <c r="CI47" s="758">
        <f t="shared" si="175"/>
        <v>0</v>
      </c>
    </row>
    <row r="48" spans="1:87" ht="27" thickTop="1" thickBot="1" x14ac:dyDescent="0.3">
      <c r="A48" s="444"/>
      <c r="B48" s="444"/>
      <c r="C48" s="445"/>
      <c r="D48" s="445"/>
      <c r="E48" s="445"/>
      <c r="F48" s="445"/>
      <c r="G48" s="445"/>
      <c r="H48" s="686" t="s">
        <v>2337</v>
      </c>
      <c r="I48" s="1046">
        <v>49261200</v>
      </c>
      <c r="J48" s="687">
        <v>0</v>
      </c>
      <c r="K48" s="687">
        <v>0</v>
      </c>
      <c r="L48" s="687">
        <v>0</v>
      </c>
      <c r="M48" s="687">
        <v>0</v>
      </c>
      <c r="N48" s="687"/>
      <c r="O48" s="687"/>
      <c r="P48" s="687"/>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7"/>
      <c r="AQ48" s="687"/>
      <c r="AR48" s="687"/>
      <c r="AS48" s="687"/>
      <c r="AT48" s="687"/>
      <c r="AU48" s="687"/>
      <c r="AV48" s="687"/>
      <c r="AW48" s="687"/>
      <c r="AX48" s="687"/>
      <c r="AY48" s="687"/>
      <c r="AZ48" s="687"/>
      <c r="BA48" s="687"/>
      <c r="BB48" s="687"/>
      <c r="BC48" s="687"/>
      <c r="BD48" s="687"/>
      <c r="BE48" s="687"/>
      <c r="BF48" s="687"/>
      <c r="BG48" s="687"/>
      <c r="BH48" s="687"/>
      <c r="BI48" s="687"/>
      <c r="BJ48" s="687"/>
      <c r="BK48" s="687"/>
      <c r="BL48" s="687"/>
      <c r="BM48" s="687"/>
      <c r="BN48" s="687"/>
      <c r="BO48" s="687"/>
      <c r="BP48" s="687"/>
      <c r="BQ48" s="687"/>
      <c r="BR48" s="687"/>
      <c r="BS48" s="687"/>
      <c r="BT48" s="687"/>
      <c r="BU48" s="687"/>
      <c r="BV48" s="687">
        <v>49261200</v>
      </c>
      <c r="BW48" s="687">
        <v>0</v>
      </c>
      <c r="BX48" s="687">
        <v>0</v>
      </c>
      <c r="BY48" s="687">
        <v>0</v>
      </c>
      <c r="BZ48" s="687"/>
      <c r="CA48" s="687"/>
      <c r="CB48" s="687"/>
      <c r="CC48" s="687"/>
      <c r="CD48" s="687">
        <f t="shared" si="7"/>
        <v>49261200</v>
      </c>
      <c r="CE48" s="687">
        <f t="shared" si="178"/>
        <v>0</v>
      </c>
      <c r="CF48" s="1195"/>
      <c r="CG48" s="1195"/>
      <c r="CH48" s="439"/>
      <c r="CI48" s="758">
        <f t="shared" si="175"/>
        <v>0</v>
      </c>
    </row>
    <row r="49" spans="1:87" ht="52.5" thickTop="1" thickBot="1" x14ac:dyDescent="0.3">
      <c r="A49" s="444"/>
      <c r="B49" s="444"/>
      <c r="C49" s="445"/>
      <c r="D49" s="445"/>
      <c r="E49" s="445"/>
      <c r="F49" s="445"/>
      <c r="G49" s="444"/>
      <c r="H49" s="686" t="s">
        <v>2339</v>
      </c>
      <c r="I49" s="1046">
        <v>414000000</v>
      </c>
      <c r="J49" s="687">
        <v>364000000</v>
      </c>
      <c r="K49" s="687">
        <v>363178800</v>
      </c>
      <c r="L49" s="687">
        <v>0</v>
      </c>
      <c r="M49" s="687">
        <v>0</v>
      </c>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687"/>
      <c r="AT49" s="687"/>
      <c r="AU49" s="687"/>
      <c r="AV49" s="687"/>
      <c r="AW49" s="687"/>
      <c r="AX49" s="687"/>
      <c r="AY49" s="687"/>
      <c r="AZ49" s="687"/>
      <c r="BA49" s="687"/>
      <c r="BB49" s="687"/>
      <c r="BC49" s="687"/>
      <c r="BD49" s="687"/>
      <c r="BE49" s="687"/>
      <c r="BF49" s="687"/>
      <c r="BG49" s="687"/>
      <c r="BH49" s="687"/>
      <c r="BI49" s="687"/>
      <c r="BJ49" s="687"/>
      <c r="BK49" s="687"/>
      <c r="BL49" s="687"/>
      <c r="BM49" s="687"/>
      <c r="BN49" s="687"/>
      <c r="BO49" s="687"/>
      <c r="BP49" s="687"/>
      <c r="BQ49" s="687"/>
      <c r="BR49" s="687"/>
      <c r="BS49" s="687"/>
      <c r="BT49" s="687"/>
      <c r="BU49" s="687"/>
      <c r="BV49" s="687">
        <v>50000000</v>
      </c>
      <c r="BW49" s="687">
        <v>50000000</v>
      </c>
      <c r="BX49" s="687">
        <v>0</v>
      </c>
      <c r="BY49" s="687">
        <v>0</v>
      </c>
      <c r="BZ49" s="687"/>
      <c r="CA49" s="687"/>
      <c r="CB49" s="687"/>
      <c r="CC49" s="687"/>
      <c r="CD49" s="687">
        <f t="shared" si="7"/>
        <v>414000000</v>
      </c>
      <c r="CE49" s="687">
        <f t="shared" ref="CE49" si="179">+K49+O49+S49+W49+AA49+AE49+AI49+AM49+AQ49+AU49+AY49+BC49+BG49+BK49+BO49+BS49+BW49+CA49</f>
        <v>413178800</v>
      </c>
      <c r="CF49" s="1195"/>
      <c r="CG49" s="1195"/>
      <c r="CH49" s="439"/>
      <c r="CI49" s="758">
        <f t="shared" si="175"/>
        <v>0</v>
      </c>
    </row>
    <row r="50" spans="1:87" ht="27" thickTop="1" thickBot="1" x14ac:dyDescent="0.3">
      <c r="A50" s="717"/>
      <c r="B50" s="717"/>
      <c r="C50" s="716"/>
      <c r="D50" s="716"/>
      <c r="E50" s="716"/>
      <c r="F50" s="716"/>
      <c r="G50" s="716"/>
      <c r="H50" s="708" t="s">
        <v>2162</v>
      </c>
      <c r="I50" s="1047">
        <f t="shared" ref="I50:BS50" si="180">+I51</f>
        <v>1845330000</v>
      </c>
      <c r="J50" s="1047">
        <f t="shared" si="180"/>
        <v>134330000</v>
      </c>
      <c r="K50" s="1047">
        <f t="shared" si="180"/>
        <v>134241546</v>
      </c>
      <c r="L50" s="1047">
        <f t="shared" si="180"/>
        <v>134241546</v>
      </c>
      <c r="M50" s="1047">
        <f t="shared" si="180"/>
        <v>123348147</v>
      </c>
      <c r="N50" s="1047">
        <f t="shared" si="180"/>
        <v>250000000</v>
      </c>
      <c r="O50" s="1047">
        <f t="shared" si="180"/>
        <v>250000000</v>
      </c>
      <c r="P50" s="1047">
        <f t="shared" si="180"/>
        <v>250000000</v>
      </c>
      <c r="Q50" s="1047">
        <f t="shared" si="180"/>
        <v>250000000</v>
      </c>
      <c r="R50" s="1047">
        <f t="shared" si="180"/>
        <v>0</v>
      </c>
      <c r="S50" s="1047">
        <f t="shared" si="180"/>
        <v>0</v>
      </c>
      <c r="T50" s="1047">
        <f t="shared" si="180"/>
        <v>0</v>
      </c>
      <c r="U50" s="1047">
        <f t="shared" si="180"/>
        <v>0</v>
      </c>
      <c r="V50" s="1047">
        <f t="shared" si="180"/>
        <v>0</v>
      </c>
      <c r="W50" s="1047">
        <f t="shared" si="180"/>
        <v>0</v>
      </c>
      <c r="X50" s="1047">
        <f t="shared" si="180"/>
        <v>0</v>
      </c>
      <c r="Y50" s="1047">
        <f t="shared" si="180"/>
        <v>0</v>
      </c>
      <c r="Z50" s="1047">
        <f t="shared" si="180"/>
        <v>0</v>
      </c>
      <c r="AA50" s="1047">
        <f t="shared" si="180"/>
        <v>0</v>
      </c>
      <c r="AB50" s="1047">
        <f t="shared" si="180"/>
        <v>0</v>
      </c>
      <c r="AC50" s="1047">
        <f t="shared" si="180"/>
        <v>0</v>
      </c>
      <c r="AD50" s="1047">
        <f t="shared" si="180"/>
        <v>0</v>
      </c>
      <c r="AE50" s="1047">
        <f t="shared" si="180"/>
        <v>0</v>
      </c>
      <c r="AF50" s="1047">
        <f t="shared" si="180"/>
        <v>0</v>
      </c>
      <c r="AG50" s="1047">
        <f t="shared" si="180"/>
        <v>0</v>
      </c>
      <c r="AH50" s="1047">
        <f t="shared" si="180"/>
        <v>0</v>
      </c>
      <c r="AI50" s="1047">
        <f t="shared" si="180"/>
        <v>0</v>
      </c>
      <c r="AJ50" s="1047">
        <f t="shared" si="180"/>
        <v>0</v>
      </c>
      <c r="AK50" s="1047">
        <f t="shared" si="180"/>
        <v>0</v>
      </c>
      <c r="AL50" s="1047">
        <f t="shared" si="180"/>
        <v>0</v>
      </c>
      <c r="AM50" s="1047">
        <f t="shared" si="180"/>
        <v>0</v>
      </c>
      <c r="AN50" s="1047">
        <f t="shared" si="180"/>
        <v>0</v>
      </c>
      <c r="AO50" s="1047">
        <f t="shared" si="180"/>
        <v>0</v>
      </c>
      <c r="AP50" s="1047">
        <f t="shared" si="180"/>
        <v>0</v>
      </c>
      <c r="AQ50" s="1047">
        <f t="shared" si="180"/>
        <v>0</v>
      </c>
      <c r="AR50" s="1047">
        <f t="shared" si="180"/>
        <v>0</v>
      </c>
      <c r="AS50" s="1047">
        <f t="shared" si="180"/>
        <v>0</v>
      </c>
      <c r="AT50" s="1047">
        <f t="shared" si="180"/>
        <v>0</v>
      </c>
      <c r="AU50" s="1047">
        <f t="shared" si="180"/>
        <v>0</v>
      </c>
      <c r="AV50" s="1047">
        <f t="shared" si="180"/>
        <v>0</v>
      </c>
      <c r="AW50" s="1047">
        <f t="shared" si="180"/>
        <v>0</v>
      </c>
      <c r="AX50" s="1047">
        <f t="shared" si="180"/>
        <v>0</v>
      </c>
      <c r="AY50" s="1047">
        <f t="shared" si="180"/>
        <v>0</v>
      </c>
      <c r="AZ50" s="1047">
        <f t="shared" si="180"/>
        <v>0</v>
      </c>
      <c r="BA50" s="1047">
        <f t="shared" si="180"/>
        <v>0</v>
      </c>
      <c r="BB50" s="1047">
        <f t="shared" si="180"/>
        <v>0</v>
      </c>
      <c r="BC50" s="1047">
        <f t="shared" si="180"/>
        <v>0</v>
      </c>
      <c r="BD50" s="1047">
        <f t="shared" si="180"/>
        <v>0</v>
      </c>
      <c r="BE50" s="1047">
        <f t="shared" si="180"/>
        <v>0</v>
      </c>
      <c r="BF50" s="1047">
        <f t="shared" si="180"/>
        <v>0</v>
      </c>
      <c r="BG50" s="1047">
        <f t="shared" si="180"/>
        <v>0</v>
      </c>
      <c r="BH50" s="1047">
        <f t="shared" si="180"/>
        <v>0</v>
      </c>
      <c r="BI50" s="1047">
        <f t="shared" si="180"/>
        <v>0</v>
      </c>
      <c r="BJ50" s="1047">
        <f t="shared" si="180"/>
        <v>0</v>
      </c>
      <c r="BK50" s="1047">
        <f t="shared" si="180"/>
        <v>0</v>
      </c>
      <c r="BL50" s="1047">
        <f t="shared" si="180"/>
        <v>0</v>
      </c>
      <c r="BM50" s="1047">
        <f t="shared" si="180"/>
        <v>0</v>
      </c>
      <c r="BN50" s="1047">
        <f t="shared" si="180"/>
        <v>0</v>
      </c>
      <c r="BO50" s="1047">
        <f t="shared" si="180"/>
        <v>0</v>
      </c>
      <c r="BP50" s="1047">
        <f t="shared" si="180"/>
        <v>0</v>
      </c>
      <c r="BQ50" s="1047">
        <f t="shared" si="180"/>
        <v>0</v>
      </c>
      <c r="BR50" s="1047">
        <f t="shared" si="180"/>
        <v>1100000000</v>
      </c>
      <c r="BS50" s="1047">
        <f t="shared" si="180"/>
        <v>1100000000</v>
      </c>
      <c r="BT50" s="1047">
        <f t="shared" ref="BT50:CC50" si="181">+BT51</f>
        <v>1100000000</v>
      </c>
      <c r="BU50" s="1047">
        <f t="shared" si="181"/>
        <v>1099356000</v>
      </c>
      <c r="BV50" s="1047">
        <f t="shared" si="181"/>
        <v>361000000</v>
      </c>
      <c r="BW50" s="1047">
        <f t="shared" si="181"/>
        <v>361000000</v>
      </c>
      <c r="BX50" s="1047">
        <f t="shared" si="181"/>
        <v>361000000</v>
      </c>
      <c r="BY50" s="1047">
        <f t="shared" si="181"/>
        <v>199356000</v>
      </c>
      <c r="BZ50" s="1047">
        <f t="shared" si="181"/>
        <v>0</v>
      </c>
      <c r="CA50" s="1047">
        <f t="shared" si="181"/>
        <v>0</v>
      </c>
      <c r="CB50" s="1047">
        <f t="shared" si="181"/>
        <v>0</v>
      </c>
      <c r="CC50" s="1047">
        <f t="shared" si="181"/>
        <v>0</v>
      </c>
      <c r="CD50" s="752">
        <f t="shared" si="7"/>
        <v>1845330000</v>
      </c>
      <c r="CE50" s="752">
        <f>+CE51</f>
        <v>1845241546</v>
      </c>
      <c r="CF50" s="752">
        <f>+CF51</f>
        <v>1845241547</v>
      </c>
      <c r="CG50" s="752">
        <f>+CG51</f>
        <v>1672704147</v>
      </c>
      <c r="CH50" s="709"/>
      <c r="CI50" s="758">
        <f t="shared" si="175"/>
        <v>0</v>
      </c>
    </row>
    <row r="51" spans="1:87" ht="27" thickTop="1" thickBot="1" x14ac:dyDescent="0.3">
      <c r="A51" s="710"/>
      <c r="B51" s="710"/>
      <c r="C51" s="712"/>
      <c r="D51" s="712"/>
      <c r="E51" s="712"/>
      <c r="F51" s="712"/>
      <c r="G51" s="712"/>
      <c r="H51" s="689" t="s">
        <v>2163</v>
      </c>
      <c r="I51" s="1048">
        <f t="shared" ref="I51:BS51" si="182">+SUM(I52:I58)</f>
        <v>1845330000</v>
      </c>
      <c r="J51" s="1048">
        <f t="shared" si="182"/>
        <v>134330000</v>
      </c>
      <c r="K51" s="1048">
        <f t="shared" si="182"/>
        <v>134241546</v>
      </c>
      <c r="L51" s="1048">
        <f t="shared" si="182"/>
        <v>134241546</v>
      </c>
      <c r="M51" s="1048">
        <f t="shared" si="182"/>
        <v>123348147</v>
      </c>
      <c r="N51" s="1048">
        <f t="shared" si="182"/>
        <v>250000000</v>
      </c>
      <c r="O51" s="1048">
        <f t="shared" si="182"/>
        <v>250000000</v>
      </c>
      <c r="P51" s="1048">
        <f t="shared" si="182"/>
        <v>250000000</v>
      </c>
      <c r="Q51" s="1048">
        <f t="shared" si="182"/>
        <v>250000000</v>
      </c>
      <c r="R51" s="1048">
        <f t="shared" si="182"/>
        <v>0</v>
      </c>
      <c r="S51" s="1048">
        <f t="shared" si="182"/>
        <v>0</v>
      </c>
      <c r="T51" s="1048">
        <f t="shared" si="182"/>
        <v>0</v>
      </c>
      <c r="U51" s="1048">
        <f t="shared" si="182"/>
        <v>0</v>
      </c>
      <c r="V51" s="1048">
        <f t="shared" si="182"/>
        <v>0</v>
      </c>
      <c r="W51" s="1048">
        <f t="shared" si="182"/>
        <v>0</v>
      </c>
      <c r="X51" s="1048">
        <f t="shared" si="182"/>
        <v>0</v>
      </c>
      <c r="Y51" s="1048">
        <f t="shared" si="182"/>
        <v>0</v>
      </c>
      <c r="Z51" s="1048">
        <f t="shared" si="182"/>
        <v>0</v>
      </c>
      <c r="AA51" s="1048">
        <f t="shared" si="182"/>
        <v>0</v>
      </c>
      <c r="AB51" s="1048">
        <f t="shared" si="182"/>
        <v>0</v>
      </c>
      <c r="AC51" s="1048">
        <f t="shared" si="182"/>
        <v>0</v>
      </c>
      <c r="AD51" s="1048">
        <f t="shared" si="182"/>
        <v>0</v>
      </c>
      <c r="AE51" s="1048">
        <f t="shared" si="182"/>
        <v>0</v>
      </c>
      <c r="AF51" s="1048">
        <f t="shared" si="182"/>
        <v>0</v>
      </c>
      <c r="AG51" s="1048">
        <f t="shared" si="182"/>
        <v>0</v>
      </c>
      <c r="AH51" s="1048">
        <f t="shared" si="182"/>
        <v>0</v>
      </c>
      <c r="AI51" s="1048">
        <f t="shared" si="182"/>
        <v>0</v>
      </c>
      <c r="AJ51" s="1048">
        <f t="shared" si="182"/>
        <v>0</v>
      </c>
      <c r="AK51" s="1048">
        <f t="shared" si="182"/>
        <v>0</v>
      </c>
      <c r="AL51" s="1048">
        <f t="shared" si="182"/>
        <v>0</v>
      </c>
      <c r="AM51" s="1048">
        <f t="shared" si="182"/>
        <v>0</v>
      </c>
      <c r="AN51" s="1048">
        <f t="shared" si="182"/>
        <v>0</v>
      </c>
      <c r="AO51" s="1048">
        <f t="shared" si="182"/>
        <v>0</v>
      </c>
      <c r="AP51" s="1048">
        <f t="shared" si="182"/>
        <v>0</v>
      </c>
      <c r="AQ51" s="1048">
        <f t="shared" si="182"/>
        <v>0</v>
      </c>
      <c r="AR51" s="1048">
        <f t="shared" si="182"/>
        <v>0</v>
      </c>
      <c r="AS51" s="1048">
        <f t="shared" si="182"/>
        <v>0</v>
      </c>
      <c r="AT51" s="1048">
        <f t="shared" si="182"/>
        <v>0</v>
      </c>
      <c r="AU51" s="1048">
        <f t="shared" si="182"/>
        <v>0</v>
      </c>
      <c r="AV51" s="1048">
        <f t="shared" si="182"/>
        <v>0</v>
      </c>
      <c r="AW51" s="1048">
        <f t="shared" si="182"/>
        <v>0</v>
      </c>
      <c r="AX51" s="1048">
        <f t="shared" si="182"/>
        <v>0</v>
      </c>
      <c r="AY51" s="1048">
        <f t="shared" si="182"/>
        <v>0</v>
      </c>
      <c r="AZ51" s="1048">
        <f t="shared" si="182"/>
        <v>0</v>
      </c>
      <c r="BA51" s="1048">
        <f t="shared" si="182"/>
        <v>0</v>
      </c>
      <c r="BB51" s="1048">
        <f t="shared" si="182"/>
        <v>0</v>
      </c>
      <c r="BC51" s="1048">
        <f t="shared" si="182"/>
        <v>0</v>
      </c>
      <c r="BD51" s="1048">
        <f t="shared" si="182"/>
        <v>0</v>
      </c>
      <c r="BE51" s="1048">
        <f t="shared" si="182"/>
        <v>0</v>
      </c>
      <c r="BF51" s="1048">
        <f t="shared" si="182"/>
        <v>0</v>
      </c>
      <c r="BG51" s="1048">
        <f t="shared" si="182"/>
        <v>0</v>
      </c>
      <c r="BH51" s="1048">
        <f t="shared" si="182"/>
        <v>0</v>
      </c>
      <c r="BI51" s="1048">
        <f t="shared" si="182"/>
        <v>0</v>
      </c>
      <c r="BJ51" s="1048">
        <f t="shared" si="182"/>
        <v>0</v>
      </c>
      <c r="BK51" s="1048">
        <f t="shared" si="182"/>
        <v>0</v>
      </c>
      <c r="BL51" s="1048">
        <f t="shared" si="182"/>
        <v>0</v>
      </c>
      <c r="BM51" s="1048">
        <f t="shared" si="182"/>
        <v>0</v>
      </c>
      <c r="BN51" s="1048">
        <f t="shared" si="182"/>
        <v>0</v>
      </c>
      <c r="BO51" s="1048">
        <f t="shared" si="182"/>
        <v>0</v>
      </c>
      <c r="BP51" s="1048">
        <f t="shared" si="182"/>
        <v>0</v>
      </c>
      <c r="BQ51" s="1048">
        <f t="shared" si="182"/>
        <v>0</v>
      </c>
      <c r="BR51" s="1048">
        <f t="shared" si="182"/>
        <v>1100000000</v>
      </c>
      <c r="BS51" s="1048">
        <f t="shared" si="182"/>
        <v>1100000000</v>
      </c>
      <c r="BT51" s="1048">
        <f t="shared" ref="BT51:CC51" si="183">+SUM(BT52:BT58)</f>
        <v>1100000000</v>
      </c>
      <c r="BU51" s="1048">
        <f t="shared" si="183"/>
        <v>1099356000</v>
      </c>
      <c r="BV51" s="1048">
        <f t="shared" si="183"/>
        <v>361000000</v>
      </c>
      <c r="BW51" s="1048">
        <f t="shared" si="183"/>
        <v>361000000</v>
      </c>
      <c r="BX51" s="1048">
        <f t="shared" si="183"/>
        <v>361000000</v>
      </c>
      <c r="BY51" s="1048">
        <f t="shared" si="183"/>
        <v>199356000</v>
      </c>
      <c r="BZ51" s="1048">
        <f t="shared" si="183"/>
        <v>0</v>
      </c>
      <c r="CA51" s="1048">
        <f t="shared" si="183"/>
        <v>0</v>
      </c>
      <c r="CB51" s="1048">
        <f t="shared" si="183"/>
        <v>0</v>
      </c>
      <c r="CC51" s="1048">
        <f t="shared" si="183"/>
        <v>0</v>
      </c>
      <c r="CD51" s="690">
        <f t="shared" si="7"/>
        <v>1845330000</v>
      </c>
      <c r="CE51" s="690">
        <f t="shared" ref="CE51" si="184">+K51+O51+S51+W51+AA51+AE51+AI51+AM51+AQ51+AU51+AY51+BC51+BG51+BK51+BO51+BS51+BW51+CA51</f>
        <v>1845241546</v>
      </c>
      <c r="CF51" s="690">
        <f>+'Anexo 5.2. infor Gastos mesa 55'!AA67</f>
        <v>1845241547</v>
      </c>
      <c r="CG51" s="690">
        <f>+'Anexo 5.2. infor Gastos mesa 55'!AB67</f>
        <v>1672704147</v>
      </c>
      <c r="CH51" s="700"/>
      <c r="CI51" s="758">
        <f t="shared" si="175"/>
        <v>0</v>
      </c>
    </row>
    <row r="52" spans="1:87" ht="27" thickTop="1" thickBot="1" x14ac:dyDescent="0.3">
      <c r="A52" s="444"/>
      <c r="B52" s="444"/>
      <c r="C52" s="445"/>
      <c r="D52" s="445"/>
      <c r="E52" s="445"/>
      <c r="F52" s="445"/>
      <c r="G52" s="444"/>
      <c r="H52" s="686" t="s">
        <v>2341</v>
      </c>
      <c r="I52" s="1046">
        <v>50000000</v>
      </c>
      <c r="J52" s="687"/>
      <c r="K52" s="687"/>
      <c r="L52" s="687"/>
      <c r="M52" s="687"/>
      <c r="N52" s="687">
        <v>50000000</v>
      </c>
      <c r="O52" s="687">
        <v>50000000</v>
      </c>
      <c r="P52" s="687">
        <v>50000000</v>
      </c>
      <c r="Q52" s="687">
        <v>50000000</v>
      </c>
      <c r="R52" s="687"/>
      <c r="S52" s="687"/>
      <c r="T52" s="687"/>
      <c r="U52" s="687"/>
      <c r="V52" s="687"/>
      <c r="W52" s="687"/>
      <c r="X52" s="687"/>
      <c r="Y52" s="687"/>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7"/>
      <c r="BA52" s="687"/>
      <c r="BB52" s="687"/>
      <c r="BC52" s="687"/>
      <c r="BD52" s="687"/>
      <c r="BE52" s="687"/>
      <c r="BF52" s="687"/>
      <c r="BG52" s="687"/>
      <c r="BH52" s="687"/>
      <c r="BI52" s="687"/>
      <c r="BJ52" s="687"/>
      <c r="BK52" s="687"/>
      <c r="BL52" s="687"/>
      <c r="BM52" s="687"/>
      <c r="BN52" s="687"/>
      <c r="BQ52" s="687"/>
      <c r="BR52" s="687"/>
      <c r="BT52" s="687"/>
      <c r="BU52" s="687"/>
      <c r="BV52" s="687"/>
      <c r="BW52" s="687"/>
      <c r="BX52" s="687"/>
      <c r="BY52" s="687"/>
      <c r="BZ52" s="687"/>
      <c r="CA52" s="687"/>
      <c r="CB52" s="687"/>
      <c r="CC52" s="687"/>
      <c r="CD52" s="687">
        <f t="shared" si="7"/>
        <v>50000000</v>
      </c>
      <c r="CE52" s="687">
        <f t="shared" ref="CE52:CE54" si="185">+K52+O52+S52+W52+AA52+AE52+AI52+AM52+AQ52+AU52+AY52+BC52+BO52+BS52+CA52</f>
        <v>50000000</v>
      </c>
      <c r="CF52" s="687">
        <v>50000000</v>
      </c>
      <c r="CG52" s="687">
        <v>50000000</v>
      </c>
      <c r="CH52" s="439"/>
      <c r="CI52" s="758">
        <f t="shared" si="175"/>
        <v>0</v>
      </c>
    </row>
    <row r="53" spans="1:87" ht="78" thickTop="1" thickBot="1" x14ac:dyDescent="0.3">
      <c r="A53" s="444"/>
      <c r="B53" s="444"/>
      <c r="C53" s="445"/>
      <c r="D53" s="445"/>
      <c r="E53" s="445"/>
      <c r="F53" s="445"/>
      <c r="G53" s="445"/>
      <c r="H53" s="686" t="s">
        <v>2343</v>
      </c>
      <c r="I53" s="1046">
        <v>50000000</v>
      </c>
      <c r="J53" s="687">
        <v>50000000</v>
      </c>
      <c r="K53" s="687">
        <v>50000000</v>
      </c>
      <c r="L53" s="687">
        <v>50000000</v>
      </c>
      <c r="M53" s="687">
        <v>50000000</v>
      </c>
      <c r="N53" s="687"/>
      <c r="O53" s="687">
        <v>0</v>
      </c>
      <c r="P53" s="687">
        <v>0</v>
      </c>
      <c r="Q53" s="687">
        <v>0</v>
      </c>
      <c r="R53" s="687"/>
      <c r="S53" s="687"/>
      <c r="T53" s="687"/>
      <c r="U53" s="687"/>
      <c r="V53" s="687"/>
      <c r="W53" s="687"/>
      <c r="X53" s="687"/>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7"/>
      <c r="BA53" s="687"/>
      <c r="BB53" s="687"/>
      <c r="BC53" s="687"/>
      <c r="BD53" s="687"/>
      <c r="BE53" s="687"/>
      <c r="BF53" s="687"/>
      <c r="BG53" s="687"/>
      <c r="BH53" s="687"/>
      <c r="BI53" s="687"/>
      <c r="BJ53" s="687"/>
      <c r="BK53" s="687"/>
      <c r="BL53" s="687"/>
      <c r="BM53" s="687"/>
      <c r="BN53" s="687"/>
      <c r="BO53" s="687"/>
      <c r="BP53" s="687"/>
      <c r="BQ53" s="687"/>
      <c r="BR53" s="687"/>
      <c r="BS53" s="687"/>
      <c r="BT53" s="687"/>
      <c r="BU53" s="687"/>
      <c r="BV53" s="687"/>
      <c r="BW53" s="687"/>
      <c r="BX53" s="687"/>
      <c r="BY53" s="687"/>
      <c r="BZ53" s="687"/>
      <c r="CA53" s="687"/>
      <c r="CB53" s="687"/>
      <c r="CC53" s="687"/>
      <c r="CD53" s="687">
        <f t="shared" si="7"/>
        <v>50000000</v>
      </c>
      <c r="CE53" s="687">
        <f t="shared" si="185"/>
        <v>50000000</v>
      </c>
      <c r="CF53" s="687">
        <v>50000000</v>
      </c>
      <c r="CG53" s="687">
        <v>50000000</v>
      </c>
      <c r="CH53" s="439"/>
      <c r="CI53" s="758">
        <f t="shared" si="175"/>
        <v>0</v>
      </c>
    </row>
    <row r="54" spans="1:87" ht="39.75" thickTop="1" thickBot="1" x14ac:dyDescent="0.3">
      <c r="A54" s="444"/>
      <c r="B54" s="445"/>
      <c r="C54" s="445"/>
      <c r="D54" s="445"/>
      <c r="E54" s="445"/>
      <c r="F54" s="445"/>
      <c r="G54" s="444"/>
      <c r="H54" s="686" t="s">
        <v>2346</v>
      </c>
      <c r="I54" s="1046">
        <v>100000000</v>
      </c>
      <c r="J54" s="687"/>
      <c r="K54" s="687"/>
      <c r="L54" s="687"/>
      <c r="M54" s="687"/>
      <c r="N54" s="687">
        <v>100000000</v>
      </c>
      <c r="O54" s="687">
        <v>100000000</v>
      </c>
      <c r="P54" s="687">
        <v>100000000</v>
      </c>
      <c r="Q54" s="687">
        <v>100000000</v>
      </c>
      <c r="R54" s="687"/>
      <c r="S54" s="687"/>
      <c r="T54" s="687"/>
      <c r="U54" s="687"/>
      <c r="V54" s="687"/>
      <c r="W54" s="687"/>
      <c r="X54" s="687"/>
      <c r="Y54" s="687"/>
      <c r="Z54" s="687"/>
      <c r="AA54" s="687"/>
      <c r="AB54" s="687"/>
      <c r="AC54" s="687"/>
      <c r="AD54" s="687"/>
      <c r="AE54" s="687"/>
      <c r="AF54" s="687"/>
      <c r="AG54" s="687"/>
      <c r="AH54" s="687"/>
      <c r="AI54" s="687"/>
      <c r="AJ54" s="687"/>
      <c r="AK54" s="687"/>
      <c r="AL54" s="687"/>
      <c r="AM54" s="687"/>
      <c r="AN54" s="687"/>
      <c r="AO54" s="687"/>
      <c r="AP54" s="687"/>
      <c r="AQ54" s="687"/>
      <c r="AR54" s="687"/>
      <c r="AS54" s="687"/>
      <c r="AT54" s="687"/>
      <c r="AU54" s="687"/>
      <c r="AV54" s="687"/>
      <c r="AW54" s="687"/>
      <c r="AX54" s="687"/>
      <c r="AY54" s="687"/>
      <c r="AZ54" s="687"/>
      <c r="BA54" s="687"/>
      <c r="BB54" s="687"/>
      <c r="BC54" s="687"/>
      <c r="BD54" s="687"/>
      <c r="BE54" s="687"/>
      <c r="BF54" s="687"/>
      <c r="BG54" s="687"/>
      <c r="BH54" s="687"/>
      <c r="BI54" s="687"/>
      <c r="BJ54" s="687"/>
      <c r="BK54" s="687"/>
      <c r="BL54" s="687"/>
      <c r="BM54" s="687"/>
      <c r="BN54" s="687"/>
      <c r="BO54" s="687"/>
      <c r="BP54" s="687"/>
      <c r="BQ54" s="687"/>
      <c r="BR54" s="687"/>
      <c r="BS54" s="687"/>
      <c r="BT54" s="687"/>
      <c r="BU54" s="687"/>
      <c r="BV54" s="687"/>
      <c r="BW54" s="687"/>
      <c r="BX54" s="687"/>
      <c r="BY54" s="687"/>
      <c r="BZ54" s="687"/>
      <c r="CA54" s="687"/>
      <c r="CB54" s="687"/>
      <c r="CC54" s="687"/>
      <c r="CD54" s="687">
        <f t="shared" si="7"/>
        <v>100000000</v>
      </c>
      <c r="CE54" s="687">
        <f t="shared" si="185"/>
        <v>100000000</v>
      </c>
      <c r="CF54" s="687">
        <v>100000000</v>
      </c>
      <c r="CG54" s="687">
        <v>100000000</v>
      </c>
      <c r="CH54" s="439"/>
      <c r="CI54" s="758">
        <f t="shared" si="175"/>
        <v>0</v>
      </c>
    </row>
    <row r="55" spans="1:87" ht="27" thickTop="1" thickBot="1" x14ac:dyDescent="0.3">
      <c r="A55" s="444"/>
      <c r="B55" s="444"/>
      <c r="C55" s="445"/>
      <c r="D55" s="445"/>
      <c r="E55" s="445"/>
      <c r="F55" s="445"/>
      <c r="G55" s="445"/>
      <c r="H55" s="686" t="s">
        <v>2348</v>
      </c>
      <c r="I55" s="1046">
        <v>99356000</v>
      </c>
      <c r="J55" s="687"/>
      <c r="K55" s="687"/>
      <c r="L55" s="687"/>
      <c r="M55" s="687"/>
      <c r="N55" s="687"/>
      <c r="O55" s="687">
        <v>0</v>
      </c>
      <c r="P55" s="687">
        <v>0</v>
      </c>
      <c r="Q55" s="687">
        <v>0</v>
      </c>
      <c r="R55" s="687"/>
      <c r="S55" s="687"/>
      <c r="T55" s="687"/>
      <c r="U55" s="687"/>
      <c r="V55" s="687"/>
      <c r="W55" s="687"/>
      <c r="X55" s="687"/>
      <c r="Y55" s="687"/>
      <c r="Z55" s="687"/>
      <c r="AA55" s="687"/>
      <c r="AB55" s="687"/>
      <c r="AC55" s="687"/>
      <c r="AD55" s="687"/>
      <c r="AE55" s="687"/>
      <c r="AF55" s="687"/>
      <c r="AG55" s="687"/>
      <c r="AH55" s="687"/>
      <c r="AI55" s="687"/>
      <c r="AJ55" s="687"/>
      <c r="AK55" s="687"/>
      <c r="AL55" s="687"/>
      <c r="AM55" s="687"/>
      <c r="AN55" s="687"/>
      <c r="AO55" s="687"/>
      <c r="AP55" s="687"/>
      <c r="AQ55" s="687"/>
      <c r="AR55" s="687"/>
      <c r="AS55" s="687"/>
      <c r="AT55" s="687"/>
      <c r="AU55" s="687"/>
      <c r="AV55" s="687"/>
      <c r="AW55" s="687"/>
      <c r="AX55" s="687"/>
      <c r="AY55" s="687"/>
      <c r="AZ55" s="687"/>
      <c r="BA55" s="687"/>
      <c r="BB55" s="687"/>
      <c r="BC55" s="687"/>
      <c r="BD55" s="687"/>
      <c r="BE55" s="687"/>
      <c r="BF55" s="687"/>
      <c r="BG55" s="687"/>
      <c r="BH55" s="687"/>
      <c r="BI55" s="687"/>
      <c r="BJ55" s="687"/>
      <c r="BK55" s="687"/>
      <c r="BL55" s="687"/>
      <c r="BM55" s="687"/>
      <c r="BN55" s="687"/>
      <c r="BO55" s="687"/>
      <c r="BP55" s="687"/>
      <c r="BQ55" s="687"/>
      <c r="BR55" s="687"/>
      <c r="BS55" s="687"/>
      <c r="BT55" s="687"/>
      <c r="BU55" s="687"/>
      <c r="BV55" s="687">
        <v>99356000</v>
      </c>
      <c r="BW55" s="687">
        <v>99356000</v>
      </c>
      <c r="BX55" s="687">
        <v>99356000</v>
      </c>
      <c r="BY55" s="687">
        <v>99356000</v>
      </c>
      <c r="BZ55" s="687"/>
      <c r="CA55" s="687"/>
      <c r="CB55" s="687"/>
      <c r="CC55" s="687"/>
      <c r="CD55" s="687">
        <f t="shared" si="7"/>
        <v>99356000</v>
      </c>
      <c r="CE55" s="687">
        <f>+K55+O55+S55+W55+AA55+AE55+AI55+AM55+AQ55+AU55+AY55+BC55+BG55+BK55+BO55+BS55+BW55+CA55</f>
        <v>99356000</v>
      </c>
      <c r="CF55" s="687">
        <f>+CE55</f>
        <v>99356000</v>
      </c>
      <c r="CG55" s="687">
        <f>+CF55</f>
        <v>99356000</v>
      </c>
      <c r="CH55" s="439"/>
      <c r="CI55" s="758">
        <f t="shared" si="175"/>
        <v>0</v>
      </c>
    </row>
    <row r="56" spans="1:87" ht="39.75" thickTop="1" thickBot="1" x14ac:dyDescent="0.3">
      <c r="A56" s="444"/>
      <c r="B56" s="444"/>
      <c r="C56" s="445"/>
      <c r="D56" s="445"/>
      <c r="E56" s="445"/>
      <c r="F56" s="445"/>
      <c r="G56" s="444"/>
      <c r="H56" s="686" t="s">
        <v>2350</v>
      </c>
      <c r="I56" s="1046">
        <v>1284330000</v>
      </c>
      <c r="J56" s="687">
        <v>84330000</v>
      </c>
      <c r="K56" s="687">
        <v>84241546</v>
      </c>
      <c r="L56" s="687">
        <v>84241546</v>
      </c>
      <c r="M56" s="687">
        <v>73348147</v>
      </c>
      <c r="N56" s="687">
        <v>100000000</v>
      </c>
      <c r="O56" s="687">
        <v>100000000</v>
      </c>
      <c r="P56" s="687">
        <v>100000000</v>
      </c>
      <c r="Q56" s="687">
        <v>100000000</v>
      </c>
      <c r="R56" s="687"/>
      <c r="S56" s="687"/>
      <c r="T56" s="687"/>
      <c r="U56" s="687"/>
      <c r="V56" s="687"/>
      <c r="W56" s="687"/>
      <c r="X56" s="687"/>
      <c r="Y56" s="687"/>
      <c r="Z56" s="687"/>
      <c r="AA56" s="687"/>
      <c r="AB56" s="687"/>
      <c r="AC56" s="687"/>
      <c r="AD56" s="687"/>
      <c r="AE56" s="687"/>
      <c r="AF56" s="687"/>
      <c r="AG56" s="687"/>
      <c r="AH56" s="687"/>
      <c r="AI56" s="687"/>
      <c r="AJ56" s="687"/>
      <c r="AK56" s="687"/>
      <c r="AL56" s="687"/>
      <c r="AM56" s="687"/>
      <c r="AN56" s="687"/>
      <c r="AO56" s="687"/>
      <c r="AP56" s="687"/>
      <c r="AQ56" s="687"/>
      <c r="AR56" s="687"/>
      <c r="AS56" s="687"/>
      <c r="AT56" s="687"/>
      <c r="AU56" s="687"/>
      <c r="AV56" s="687"/>
      <c r="AW56" s="687"/>
      <c r="AX56" s="687"/>
      <c r="AY56" s="687"/>
      <c r="AZ56" s="687"/>
      <c r="BA56" s="687"/>
      <c r="BB56" s="687"/>
      <c r="BC56" s="687"/>
      <c r="BD56" s="687"/>
      <c r="BE56" s="687"/>
      <c r="BF56" s="687"/>
      <c r="BG56" s="687"/>
      <c r="BH56" s="687"/>
      <c r="BI56" s="687"/>
      <c r="BJ56" s="687"/>
      <c r="BK56" s="687"/>
      <c r="BL56" s="687"/>
      <c r="BM56" s="687"/>
      <c r="BN56" s="687"/>
      <c r="BO56" s="687"/>
      <c r="BP56" s="687"/>
      <c r="BQ56" s="687"/>
      <c r="BR56" s="687">
        <v>1099356000</v>
      </c>
      <c r="BS56" s="687">
        <v>1099356000</v>
      </c>
      <c r="BT56" s="687">
        <v>1099356000</v>
      </c>
      <c r="BU56" s="687">
        <v>1099356000</v>
      </c>
      <c r="BV56" s="687">
        <v>644000</v>
      </c>
      <c r="BW56" s="687">
        <v>644000</v>
      </c>
      <c r="BX56" s="687">
        <v>644000</v>
      </c>
      <c r="BY56" s="687">
        <v>0</v>
      </c>
      <c r="BZ56" s="687"/>
      <c r="CA56" s="687"/>
      <c r="CB56" s="687"/>
      <c r="CC56" s="687"/>
      <c r="CD56" s="687">
        <f t="shared" si="7"/>
        <v>1284330000</v>
      </c>
      <c r="CE56" s="687">
        <v>1284241546</v>
      </c>
      <c r="CF56" s="687">
        <f>+CE56</f>
        <v>1284241546</v>
      </c>
      <c r="CG56" s="687">
        <f>1460860146.42-206150000.02+17994000.6</f>
        <v>1272704147</v>
      </c>
      <c r="CH56" s="439"/>
      <c r="CI56" s="758">
        <f t="shared" si="175"/>
        <v>0</v>
      </c>
    </row>
    <row r="57" spans="1:87" ht="27" thickTop="1" thickBot="1" x14ac:dyDescent="0.3">
      <c r="A57" s="444"/>
      <c r="B57" s="444"/>
      <c r="C57" s="445"/>
      <c r="D57" s="445"/>
      <c r="E57" s="445"/>
      <c r="F57" s="445"/>
      <c r="G57" s="445"/>
      <c r="H57" s="686" t="s">
        <v>2352</v>
      </c>
      <c r="I57" s="1046">
        <v>100000000</v>
      </c>
      <c r="J57" s="687"/>
      <c r="K57" s="687"/>
      <c r="L57" s="687"/>
      <c r="M57" s="687"/>
      <c r="N57" s="687"/>
      <c r="O57" s="687">
        <v>0</v>
      </c>
      <c r="P57" s="687">
        <v>0</v>
      </c>
      <c r="Q57" s="687">
        <v>0</v>
      </c>
      <c r="R57" s="687"/>
      <c r="S57" s="687"/>
      <c r="T57" s="687"/>
      <c r="U57" s="687"/>
      <c r="V57" s="687"/>
      <c r="W57" s="687"/>
      <c r="X57" s="687"/>
      <c r="Y57" s="687"/>
      <c r="Z57" s="687"/>
      <c r="AA57" s="687"/>
      <c r="AB57" s="687"/>
      <c r="AC57" s="687"/>
      <c r="AD57" s="687"/>
      <c r="AE57" s="687"/>
      <c r="AF57" s="687"/>
      <c r="AG57" s="687"/>
      <c r="AH57" s="687"/>
      <c r="AI57" s="687"/>
      <c r="AJ57" s="687"/>
      <c r="AK57" s="687"/>
      <c r="AL57" s="687"/>
      <c r="AM57" s="687"/>
      <c r="AN57" s="687"/>
      <c r="AO57" s="687"/>
      <c r="AP57" s="687"/>
      <c r="AQ57" s="687"/>
      <c r="AR57" s="687"/>
      <c r="AS57" s="687"/>
      <c r="AT57" s="687"/>
      <c r="AU57" s="687"/>
      <c r="AV57" s="687"/>
      <c r="AW57" s="687"/>
      <c r="AX57" s="687"/>
      <c r="AY57" s="687"/>
      <c r="AZ57" s="687"/>
      <c r="BA57" s="687"/>
      <c r="BB57" s="687"/>
      <c r="BC57" s="687"/>
      <c r="BD57" s="687"/>
      <c r="BE57" s="687"/>
      <c r="BF57" s="687"/>
      <c r="BG57" s="687"/>
      <c r="BH57" s="687"/>
      <c r="BI57" s="687"/>
      <c r="BJ57" s="687"/>
      <c r="BK57" s="687"/>
      <c r="BL57" s="687"/>
      <c r="BM57" s="687"/>
      <c r="BN57" s="687"/>
      <c r="BO57" s="687"/>
      <c r="BP57" s="687"/>
      <c r="BQ57" s="687"/>
      <c r="BR57" s="687"/>
      <c r="BS57" s="687"/>
      <c r="BT57" s="687"/>
      <c r="BU57" s="687"/>
      <c r="BV57" s="687">
        <v>100000000</v>
      </c>
      <c r="BW57" s="687">
        <v>100000000</v>
      </c>
      <c r="BX57" s="687">
        <v>100000000</v>
      </c>
      <c r="BY57" s="687">
        <v>100000000</v>
      </c>
      <c r="BZ57" s="687"/>
      <c r="CA57" s="687"/>
      <c r="CB57" s="687"/>
      <c r="CC57" s="687"/>
      <c r="CD57" s="687">
        <f t="shared" si="7"/>
        <v>100000000</v>
      </c>
      <c r="CE57" s="687">
        <f t="shared" ref="CE57:CE58" si="186">+K57+O57+S57+W57+AA57+AE57+AI57+AM57+AQ57+AU57+AY57+BC57+BG57+BK57+BO57+BS57+BW57+CA57</f>
        <v>100000000</v>
      </c>
      <c r="CF57" s="687">
        <f>+CE57</f>
        <v>100000000</v>
      </c>
      <c r="CG57" s="687">
        <v>100000000</v>
      </c>
      <c r="CH57" s="439"/>
      <c r="CI57" s="758">
        <f t="shared" si="175"/>
        <v>0</v>
      </c>
    </row>
    <row r="58" spans="1:87" ht="39.75" thickTop="1" thickBot="1" x14ac:dyDescent="0.3">
      <c r="A58" s="444"/>
      <c r="B58" s="444"/>
      <c r="C58" s="445"/>
      <c r="D58" s="445"/>
      <c r="E58" s="445"/>
      <c r="F58" s="445"/>
      <c r="G58" s="444"/>
      <c r="H58" s="686" t="s">
        <v>2354</v>
      </c>
      <c r="I58" s="1046">
        <v>161644000</v>
      </c>
      <c r="J58" s="687"/>
      <c r="K58" s="687"/>
      <c r="L58" s="687"/>
      <c r="M58" s="687"/>
      <c r="N58" s="687"/>
      <c r="O58" s="687"/>
      <c r="P58" s="687"/>
      <c r="Q58" s="687"/>
      <c r="R58" s="687"/>
      <c r="S58" s="687"/>
      <c r="T58" s="687"/>
      <c r="U58" s="687"/>
      <c r="V58" s="687"/>
      <c r="W58" s="687"/>
      <c r="X58" s="687"/>
      <c r="Y58" s="687"/>
      <c r="Z58" s="687"/>
      <c r="AA58" s="687"/>
      <c r="AB58" s="687"/>
      <c r="AC58" s="687"/>
      <c r="AD58" s="687"/>
      <c r="AE58" s="687"/>
      <c r="AF58" s="687"/>
      <c r="AG58" s="687"/>
      <c r="AH58" s="687"/>
      <c r="AI58" s="687"/>
      <c r="AJ58" s="687"/>
      <c r="AK58" s="687"/>
      <c r="AL58" s="687"/>
      <c r="AM58" s="687"/>
      <c r="AN58" s="687"/>
      <c r="AO58" s="687"/>
      <c r="AP58" s="687"/>
      <c r="AQ58" s="687"/>
      <c r="AR58" s="687"/>
      <c r="AS58" s="687"/>
      <c r="AT58" s="687"/>
      <c r="AU58" s="687"/>
      <c r="AV58" s="687"/>
      <c r="AW58" s="687"/>
      <c r="AX58" s="687"/>
      <c r="AY58" s="687"/>
      <c r="AZ58" s="687"/>
      <c r="BA58" s="687"/>
      <c r="BB58" s="687"/>
      <c r="BC58" s="687"/>
      <c r="BD58" s="687"/>
      <c r="BE58" s="687"/>
      <c r="BF58" s="687"/>
      <c r="BG58" s="687"/>
      <c r="BH58" s="687"/>
      <c r="BI58" s="687"/>
      <c r="BJ58" s="687"/>
      <c r="BK58" s="687"/>
      <c r="BL58" s="687"/>
      <c r="BM58" s="687"/>
      <c r="BN58" s="687"/>
      <c r="BO58" s="687"/>
      <c r="BP58" s="687"/>
      <c r="BQ58" s="687"/>
      <c r="BR58" s="687">
        <v>644000</v>
      </c>
      <c r="BS58" s="687">
        <v>644000</v>
      </c>
      <c r="BT58" s="687">
        <v>644000</v>
      </c>
      <c r="BU58" s="687">
        <v>0</v>
      </c>
      <c r="BV58" s="687">
        <v>161000000</v>
      </c>
      <c r="BW58" s="687">
        <v>161000000</v>
      </c>
      <c r="BX58" s="687">
        <v>161000000</v>
      </c>
      <c r="BY58" s="687">
        <v>0</v>
      </c>
      <c r="BZ58" s="687"/>
      <c r="CA58" s="687"/>
      <c r="CB58" s="687"/>
      <c r="CC58" s="687"/>
      <c r="CD58" s="687">
        <f>+J58+N58+R58+V58+Z58+AD58+AH58+AL58+AP58+AT58+AX58+BB58+BF58+BJ58+BN58+BR58+BV58+BZ58</f>
        <v>161644000</v>
      </c>
      <c r="CE58" s="687">
        <f t="shared" si="186"/>
        <v>161644000</v>
      </c>
      <c r="CF58" s="687">
        <v>161644000</v>
      </c>
      <c r="CG58" s="687"/>
      <c r="CH58" s="439"/>
      <c r="CI58" s="758">
        <f t="shared" si="175"/>
        <v>0</v>
      </c>
    </row>
    <row r="59" spans="1:87" ht="16.5" thickTop="1" thickBot="1" x14ac:dyDescent="0.3">
      <c r="A59" s="724"/>
      <c r="B59" s="724"/>
      <c r="C59" s="724"/>
      <c r="D59" s="724"/>
      <c r="E59" s="724"/>
      <c r="F59" s="724"/>
      <c r="G59" s="725"/>
      <c r="H59" s="715" t="s">
        <v>2164</v>
      </c>
      <c r="I59" s="1049">
        <f t="shared" ref="I59:BS59" si="187">+I60+I69</f>
        <v>1901600000</v>
      </c>
      <c r="J59" s="1049">
        <f t="shared" si="187"/>
        <v>166527448.03999999</v>
      </c>
      <c r="K59" s="1049">
        <f t="shared" si="187"/>
        <v>161732133.31999999</v>
      </c>
      <c r="L59" s="1049">
        <f t="shared" si="187"/>
        <v>161732133.31999999</v>
      </c>
      <c r="M59" s="1049">
        <f t="shared" si="187"/>
        <v>9095448.0399999991</v>
      </c>
      <c r="N59" s="1049">
        <f t="shared" si="187"/>
        <v>0</v>
      </c>
      <c r="O59" s="1049">
        <f t="shared" si="187"/>
        <v>0</v>
      </c>
      <c r="P59" s="1049">
        <f t="shared" si="187"/>
        <v>0</v>
      </c>
      <c r="Q59" s="1049">
        <f t="shared" si="187"/>
        <v>0</v>
      </c>
      <c r="R59" s="1049">
        <f t="shared" si="187"/>
        <v>1000000000</v>
      </c>
      <c r="S59" s="1049">
        <f t="shared" si="187"/>
        <v>1000000000</v>
      </c>
      <c r="T59" s="1049">
        <f t="shared" si="187"/>
        <v>1000000000</v>
      </c>
      <c r="U59" s="1049">
        <f t="shared" si="187"/>
        <v>1000000000</v>
      </c>
      <c r="V59" s="1049">
        <f t="shared" si="187"/>
        <v>0</v>
      </c>
      <c r="W59" s="1049">
        <f t="shared" si="187"/>
        <v>0</v>
      </c>
      <c r="X59" s="1049">
        <f t="shared" si="187"/>
        <v>0</v>
      </c>
      <c r="Y59" s="1049">
        <f t="shared" si="187"/>
        <v>0</v>
      </c>
      <c r="Z59" s="1049">
        <f t="shared" si="187"/>
        <v>0</v>
      </c>
      <c r="AA59" s="1049">
        <f t="shared" si="187"/>
        <v>0</v>
      </c>
      <c r="AB59" s="1049">
        <f t="shared" si="187"/>
        <v>0</v>
      </c>
      <c r="AC59" s="1049">
        <f t="shared" si="187"/>
        <v>0</v>
      </c>
      <c r="AD59" s="1049">
        <f t="shared" si="187"/>
        <v>0</v>
      </c>
      <c r="AE59" s="1049">
        <f t="shared" si="187"/>
        <v>0</v>
      </c>
      <c r="AF59" s="1049">
        <f t="shared" si="187"/>
        <v>0</v>
      </c>
      <c r="AG59" s="1049">
        <f t="shared" si="187"/>
        <v>0</v>
      </c>
      <c r="AH59" s="1049">
        <f t="shared" si="187"/>
        <v>0</v>
      </c>
      <c r="AI59" s="1049">
        <f t="shared" si="187"/>
        <v>0</v>
      </c>
      <c r="AJ59" s="1049">
        <f t="shared" si="187"/>
        <v>0</v>
      </c>
      <c r="AK59" s="1049">
        <f t="shared" si="187"/>
        <v>0</v>
      </c>
      <c r="AL59" s="1049">
        <f t="shared" si="187"/>
        <v>0</v>
      </c>
      <c r="AM59" s="1049">
        <f t="shared" si="187"/>
        <v>0</v>
      </c>
      <c r="AN59" s="1049">
        <f t="shared" si="187"/>
        <v>0</v>
      </c>
      <c r="AO59" s="1049">
        <f t="shared" si="187"/>
        <v>0</v>
      </c>
      <c r="AP59" s="1049">
        <f t="shared" si="187"/>
        <v>0</v>
      </c>
      <c r="AQ59" s="1049">
        <f t="shared" si="187"/>
        <v>0</v>
      </c>
      <c r="AR59" s="1049">
        <f t="shared" si="187"/>
        <v>0</v>
      </c>
      <c r="AS59" s="1049">
        <f t="shared" si="187"/>
        <v>0</v>
      </c>
      <c r="AT59" s="1049">
        <f t="shared" si="187"/>
        <v>0</v>
      </c>
      <c r="AU59" s="1049">
        <f t="shared" si="187"/>
        <v>0</v>
      </c>
      <c r="AV59" s="1049">
        <f t="shared" si="187"/>
        <v>0</v>
      </c>
      <c r="AW59" s="1049">
        <f t="shared" si="187"/>
        <v>0</v>
      </c>
      <c r="AX59" s="1049">
        <f t="shared" si="187"/>
        <v>0</v>
      </c>
      <c r="AY59" s="1049">
        <f t="shared" si="187"/>
        <v>0</v>
      </c>
      <c r="AZ59" s="1049">
        <f t="shared" si="187"/>
        <v>0</v>
      </c>
      <c r="BA59" s="1049">
        <f t="shared" si="187"/>
        <v>0</v>
      </c>
      <c r="BB59" s="1049">
        <f t="shared" si="187"/>
        <v>0</v>
      </c>
      <c r="BC59" s="1049">
        <f t="shared" si="187"/>
        <v>0</v>
      </c>
      <c r="BD59" s="1049">
        <f t="shared" si="187"/>
        <v>0</v>
      </c>
      <c r="BE59" s="1049">
        <f t="shared" si="187"/>
        <v>0</v>
      </c>
      <c r="BF59" s="1049">
        <f t="shared" si="187"/>
        <v>0</v>
      </c>
      <c r="BG59" s="1049">
        <f t="shared" si="187"/>
        <v>0</v>
      </c>
      <c r="BH59" s="1049">
        <f t="shared" si="187"/>
        <v>0</v>
      </c>
      <c r="BI59" s="1049">
        <f t="shared" si="187"/>
        <v>0</v>
      </c>
      <c r="BJ59" s="1049">
        <f t="shared" si="187"/>
        <v>0</v>
      </c>
      <c r="BK59" s="1049">
        <f t="shared" si="187"/>
        <v>0</v>
      </c>
      <c r="BL59" s="1049">
        <f t="shared" si="187"/>
        <v>0</v>
      </c>
      <c r="BM59" s="1049">
        <f t="shared" si="187"/>
        <v>0</v>
      </c>
      <c r="BN59" s="1049">
        <f t="shared" si="187"/>
        <v>0</v>
      </c>
      <c r="BO59" s="1049">
        <f t="shared" si="187"/>
        <v>0</v>
      </c>
      <c r="BP59" s="1049">
        <f t="shared" si="187"/>
        <v>0</v>
      </c>
      <c r="BQ59" s="1049">
        <f t="shared" si="187"/>
        <v>0</v>
      </c>
      <c r="BR59" s="1049">
        <f t="shared" si="187"/>
        <v>33072551.960000001</v>
      </c>
      <c r="BS59" s="1049">
        <f t="shared" si="187"/>
        <v>33072551.960000001</v>
      </c>
      <c r="BT59" s="1049">
        <f t="shared" ref="BT59:CC59" si="188">+BT60+BT69</f>
        <v>33072551.960000001</v>
      </c>
      <c r="BU59" s="1049">
        <f t="shared" si="188"/>
        <v>33072551.960000001</v>
      </c>
      <c r="BV59" s="1049">
        <f t="shared" si="188"/>
        <v>702000000</v>
      </c>
      <c r="BW59" s="1049">
        <f t="shared" si="188"/>
        <v>218456308</v>
      </c>
      <c r="BX59" s="1049">
        <f t="shared" si="188"/>
        <v>218456308</v>
      </c>
      <c r="BY59" s="1049">
        <f t="shared" si="188"/>
        <v>218456308</v>
      </c>
      <c r="BZ59" s="1049">
        <f t="shared" si="188"/>
        <v>0</v>
      </c>
      <c r="CA59" s="1049">
        <f t="shared" si="188"/>
        <v>0</v>
      </c>
      <c r="CB59" s="1049">
        <f t="shared" si="188"/>
        <v>0</v>
      </c>
      <c r="CC59" s="1049">
        <f t="shared" si="188"/>
        <v>0</v>
      </c>
      <c r="CD59" s="756">
        <f t="shared" si="7"/>
        <v>1901600000</v>
      </c>
      <c r="CE59" s="756">
        <f>+CE60+CE69</f>
        <v>1413260993.28</v>
      </c>
      <c r="CF59" s="756">
        <f>+CF60+CF69</f>
        <v>1413260993</v>
      </c>
      <c r="CG59" s="756">
        <f>+CG60+CG69</f>
        <v>1260624308</v>
      </c>
      <c r="CH59" s="707"/>
      <c r="CI59" s="758">
        <f t="shared" si="175"/>
        <v>0</v>
      </c>
    </row>
    <row r="60" spans="1:87" ht="27" thickTop="1" thickBot="1" x14ac:dyDescent="0.3">
      <c r="A60" s="717"/>
      <c r="B60" s="717"/>
      <c r="C60" s="716"/>
      <c r="D60" s="716"/>
      <c r="E60" s="716"/>
      <c r="F60" s="716"/>
      <c r="G60" s="716"/>
      <c r="H60" s="708" t="s">
        <v>2165</v>
      </c>
      <c r="I60" s="1047">
        <f t="shared" ref="I60:BS60" si="189">+I61</f>
        <v>199600000</v>
      </c>
      <c r="J60" s="1047">
        <f t="shared" si="189"/>
        <v>166527448.03999999</v>
      </c>
      <c r="K60" s="1047">
        <f t="shared" si="189"/>
        <v>161732133.31999999</v>
      </c>
      <c r="L60" s="1047">
        <f t="shared" si="189"/>
        <v>161732133.31999999</v>
      </c>
      <c r="M60" s="1047">
        <f t="shared" si="189"/>
        <v>9095448.0399999991</v>
      </c>
      <c r="N60" s="1047">
        <f t="shared" si="189"/>
        <v>0</v>
      </c>
      <c r="O60" s="1047">
        <f t="shared" si="189"/>
        <v>0</v>
      </c>
      <c r="P60" s="1047">
        <f t="shared" si="189"/>
        <v>0</v>
      </c>
      <c r="Q60" s="1047">
        <f t="shared" si="189"/>
        <v>0</v>
      </c>
      <c r="R60" s="1047">
        <f t="shared" si="189"/>
        <v>0</v>
      </c>
      <c r="S60" s="1047">
        <f t="shared" si="189"/>
        <v>0</v>
      </c>
      <c r="T60" s="1047">
        <f t="shared" si="189"/>
        <v>0</v>
      </c>
      <c r="U60" s="1047">
        <f t="shared" si="189"/>
        <v>0</v>
      </c>
      <c r="V60" s="1047">
        <f t="shared" si="189"/>
        <v>0</v>
      </c>
      <c r="W60" s="1047">
        <f t="shared" si="189"/>
        <v>0</v>
      </c>
      <c r="X60" s="1047">
        <f t="shared" si="189"/>
        <v>0</v>
      </c>
      <c r="Y60" s="1047">
        <f t="shared" si="189"/>
        <v>0</v>
      </c>
      <c r="Z60" s="1047">
        <f t="shared" si="189"/>
        <v>0</v>
      </c>
      <c r="AA60" s="1047">
        <f t="shared" si="189"/>
        <v>0</v>
      </c>
      <c r="AB60" s="1047">
        <f t="shared" si="189"/>
        <v>0</v>
      </c>
      <c r="AC60" s="1047">
        <f t="shared" si="189"/>
        <v>0</v>
      </c>
      <c r="AD60" s="1047">
        <f t="shared" si="189"/>
        <v>0</v>
      </c>
      <c r="AE60" s="1047">
        <f t="shared" si="189"/>
        <v>0</v>
      </c>
      <c r="AF60" s="1047">
        <f t="shared" si="189"/>
        <v>0</v>
      </c>
      <c r="AG60" s="1047">
        <f t="shared" si="189"/>
        <v>0</v>
      </c>
      <c r="AH60" s="1047">
        <f t="shared" si="189"/>
        <v>0</v>
      </c>
      <c r="AI60" s="1047">
        <f t="shared" si="189"/>
        <v>0</v>
      </c>
      <c r="AJ60" s="1047">
        <f t="shared" si="189"/>
        <v>0</v>
      </c>
      <c r="AK60" s="1047">
        <f t="shared" si="189"/>
        <v>0</v>
      </c>
      <c r="AL60" s="1047">
        <f t="shared" si="189"/>
        <v>0</v>
      </c>
      <c r="AM60" s="1047">
        <f t="shared" si="189"/>
        <v>0</v>
      </c>
      <c r="AN60" s="1047">
        <f t="shared" si="189"/>
        <v>0</v>
      </c>
      <c r="AO60" s="1047">
        <f t="shared" si="189"/>
        <v>0</v>
      </c>
      <c r="AP60" s="1047">
        <f t="shared" si="189"/>
        <v>0</v>
      </c>
      <c r="AQ60" s="1047">
        <f t="shared" si="189"/>
        <v>0</v>
      </c>
      <c r="AR60" s="1047">
        <f t="shared" si="189"/>
        <v>0</v>
      </c>
      <c r="AS60" s="1047">
        <f t="shared" si="189"/>
        <v>0</v>
      </c>
      <c r="AT60" s="1047">
        <f t="shared" si="189"/>
        <v>0</v>
      </c>
      <c r="AU60" s="1047">
        <f t="shared" si="189"/>
        <v>0</v>
      </c>
      <c r="AV60" s="1047">
        <f t="shared" si="189"/>
        <v>0</v>
      </c>
      <c r="AW60" s="1047">
        <f t="shared" si="189"/>
        <v>0</v>
      </c>
      <c r="AX60" s="1047">
        <f t="shared" si="189"/>
        <v>0</v>
      </c>
      <c r="AY60" s="1047">
        <f t="shared" si="189"/>
        <v>0</v>
      </c>
      <c r="AZ60" s="1047">
        <f t="shared" si="189"/>
        <v>0</v>
      </c>
      <c r="BA60" s="1047">
        <f t="shared" si="189"/>
        <v>0</v>
      </c>
      <c r="BB60" s="1047">
        <f t="shared" si="189"/>
        <v>0</v>
      </c>
      <c r="BC60" s="1047">
        <f t="shared" si="189"/>
        <v>0</v>
      </c>
      <c r="BD60" s="1047">
        <f t="shared" si="189"/>
        <v>0</v>
      </c>
      <c r="BE60" s="1047">
        <f t="shared" si="189"/>
        <v>0</v>
      </c>
      <c r="BF60" s="1047">
        <f t="shared" si="189"/>
        <v>0</v>
      </c>
      <c r="BG60" s="1047">
        <f t="shared" si="189"/>
        <v>0</v>
      </c>
      <c r="BH60" s="1047">
        <f t="shared" si="189"/>
        <v>0</v>
      </c>
      <c r="BI60" s="1047">
        <f t="shared" si="189"/>
        <v>0</v>
      </c>
      <c r="BJ60" s="1047">
        <f t="shared" si="189"/>
        <v>0</v>
      </c>
      <c r="BK60" s="1047">
        <f t="shared" si="189"/>
        <v>0</v>
      </c>
      <c r="BL60" s="1047">
        <f t="shared" si="189"/>
        <v>0</v>
      </c>
      <c r="BM60" s="1047">
        <f t="shared" si="189"/>
        <v>0</v>
      </c>
      <c r="BN60" s="1047">
        <f t="shared" si="189"/>
        <v>0</v>
      </c>
      <c r="BO60" s="1047">
        <f t="shared" si="189"/>
        <v>0</v>
      </c>
      <c r="BP60" s="1047">
        <f t="shared" si="189"/>
        <v>0</v>
      </c>
      <c r="BQ60" s="1047">
        <f t="shared" si="189"/>
        <v>0</v>
      </c>
      <c r="BR60" s="1047">
        <f t="shared" si="189"/>
        <v>33072551.960000001</v>
      </c>
      <c r="BS60" s="1047">
        <f t="shared" si="189"/>
        <v>33072551.960000001</v>
      </c>
      <c r="BT60" s="1047">
        <f t="shared" ref="BT60:CC60" si="190">+BT61</f>
        <v>33072551.960000001</v>
      </c>
      <c r="BU60" s="1047">
        <f t="shared" si="190"/>
        <v>33072551.960000001</v>
      </c>
      <c r="BV60" s="1047">
        <f t="shared" si="190"/>
        <v>0</v>
      </c>
      <c r="BW60" s="1047">
        <f t="shared" si="190"/>
        <v>0</v>
      </c>
      <c r="BX60" s="1047">
        <f t="shared" si="190"/>
        <v>0</v>
      </c>
      <c r="BY60" s="1047">
        <f t="shared" si="190"/>
        <v>0</v>
      </c>
      <c r="BZ60" s="1047">
        <f t="shared" si="190"/>
        <v>0</v>
      </c>
      <c r="CA60" s="1047">
        <f t="shared" si="190"/>
        <v>0</v>
      </c>
      <c r="CB60" s="1047">
        <f t="shared" si="190"/>
        <v>0</v>
      </c>
      <c r="CC60" s="1047">
        <f t="shared" si="190"/>
        <v>0</v>
      </c>
      <c r="CD60" s="752">
        <f t="shared" si="7"/>
        <v>199600000</v>
      </c>
      <c r="CE60" s="752">
        <f>+CE61</f>
        <v>194804685.28</v>
      </c>
      <c r="CF60" s="752">
        <f>+CF61</f>
        <v>194804685</v>
      </c>
      <c r="CG60" s="752">
        <f>+CG61</f>
        <v>42168000</v>
      </c>
      <c r="CH60" s="709"/>
      <c r="CI60" s="758">
        <f t="shared" si="175"/>
        <v>0</v>
      </c>
    </row>
    <row r="61" spans="1:87" ht="27" thickTop="1" thickBot="1" x14ac:dyDescent="0.3">
      <c r="A61" s="697"/>
      <c r="B61" s="726"/>
      <c r="C61" s="726"/>
      <c r="D61" s="712"/>
      <c r="E61" s="712"/>
      <c r="F61" s="712"/>
      <c r="G61" s="710"/>
      <c r="H61" s="689" t="s">
        <v>2166</v>
      </c>
      <c r="I61" s="1048">
        <f t="shared" ref="I61:BS61" si="191">+SUM(I62:I68)</f>
        <v>199600000</v>
      </c>
      <c r="J61" s="1048">
        <f t="shared" si="191"/>
        <v>166527448.03999999</v>
      </c>
      <c r="K61" s="1048">
        <f t="shared" si="191"/>
        <v>161732133.31999999</v>
      </c>
      <c r="L61" s="1048">
        <f t="shared" si="191"/>
        <v>161732133.31999999</v>
      </c>
      <c r="M61" s="1048">
        <f t="shared" si="191"/>
        <v>9095448.0399999991</v>
      </c>
      <c r="N61" s="1048">
        <f t="shared" si="191"/>
        <v>0</v>
      </c>
      <c r="O61" s="1048">
        <f t="shared" si="191"/>
        <v>0</v>
      </c>
      <c r="P61" s="1048">
        <f t="shared" si="191"/>
        <v>0</v>
      </c>
      <c r="Q61" s="1048">
        <f t="shared" si="191"/>
        <v>0</v>
      </c>
      <c r="R61" s="1048">
        <f t="shared" si="191"/>
        <v>0</v>
      </c>
      <c r="S61" s="1048">
        <f t="shared" si="191"/>
        <v>0</v>
      </c>
      <c r="T61" s="1048">
        <f t="shared" si="191"/>
        <v>0</v>
      </c>
      <c r="U61" s="1048">
        <f t="shared" si="191"/>
        <v>0</v>
      </c>
      <c r="V61" s="1048">
        <f t="shared" si="191"/>
        <v>0</v>
      </c>
      <c r="W61" s="1048">
        <f t="shared" si="191"/>
        <v>0</v>
      </c>
      <c r="X61" s="1048">
        <f t="shared" si="191"/>
        <v>0</v>
      </c>
      <c r="Y61" s="1048">
        <f t="shared" si="191"/>
        <v>0</v>
      </c>
      <c r="Z61" s="1048">
        <f t="shared" si="191"/>
        <v>0</v>
      </c>
      <c r="AA61" s="1048">
        <f t="shared" si="191"/>
        <v>0</v>
      </c>
      <c r="AB61" s="1048">
        <f t="shared" si="191"/>
        <v>0</v>
      </c>
      <c r="AC61" s="1048">
        <f t="shared" si="191"/>
        <v>0</v>
      </c>
      <c r="AD61" s="1048">
        <f t="shared" si="191"/>
        <v>0</v>
      </c>
      <c r="AE61" s="1048">
        <f t="shared" si="191"/>
        <v>0</v>
      </c>
      <c r="AF61" s="1048">
        <f t="shared" si="191"/>
        <v>0</v>
      </c>
      <c r="AG61" s="1048">
        <f t="shared" si="191"/>
        <v>0</v>
      </c>
      <c r="AH61" s="1048">
        <f t="shared" si="191"/>
        <v>0</v>
      </c>
      <c r="AI61" s="1048">
        <f t="shared" si="191"/>
        <v>0</v>
      </c>
      <c r="AJ61" s="1048">
        <f t="shared" si="191"/>
        <v>0</v>
      </c>
      <c r="AK61" s="1048">
        <f t="shared" si="191"/>
        <v>0</v>
      </c>
      <c r="AL61" s="1048">
        <f t="shared" si="191"/>
        <v>0</v>
      </c>
      <c r="AM61" s="1048">
        <f t="shared" si="191"/>
        <v>0</v>
      </c>
      <c r="AN61" s="1048">
        <f t="shared" si="191"/>
        <v>0</v>
      </c>
      <c r="AO61" s="1048">
        <f t="shared" si="191"/>
        <v>0</v>
      </c>
      <c r="AP61" s="1048">
        <f t="shared" si="191"/>
        <v>0</v>
      </c>
      <c r="AQ61" s="1048">
        <f t="shared" si="191"/>
        <v>0</v>
      </c>
      <c r="AR61" s="1048">
        <f t="shared" si="191"/>
        <v>0</v>
      </c>
      <c r="AS61" s="1048">
        <f t="shared" si="191"/>
        <v>0</v>
      </c>
      <c r="AT61" s="1048">
        <f t="shared" si="191"/>
        <v>0</v>
      </c>
      <c r="AU61" s="1048">
        <f t="shared" si="191"/>
        <v>0</v>
      </c>
      <c r="AV61" s="1048">
        <f t="shared" si="191"/>
        <v>0</v>
      </c>
      <c r="AW61" s="1048">
        <f t="shared" si="191"/>
        <v>0</v>
      </c>
      <c r="AX61" s="1048">
        <f t="shared" si="191"/>
        <v>0</v>
      </c>
      <c r="AY61" s="1048">
        <f t="shared" si="191"/>
        <v>0</v>
      </c>
      <c r="AZ61" s="1048">
        <f t="shared" si="191"/>
        <v>0</v>
      </c>
      <c r="BA61" s="1048">
        <f t="shared" si="191"/>
        <v>0</v>
      </c>
      <c r="BB61" s="1048">
        <f t="shared" si="191"/>
        <v>0</v>
      </c>
      <c r="BC61" s="1048">
        <f t="shared" si="191"/>
        <v>0</v>
      </c>
      <c r="BD61" s="1048">
        <f t="shared" si="191"/>
        <v>0</v>
      </c>
      <c r="BE61" s="1048">
        <f t="shared" si="191"/>
        <v>0</v>
      </c>
      <c r="BF61" s="1048">
        <f t="shared" si="191"/>
        <v>0</v>
      </c>
      <c r="BG61" s="1048">
        <f t="shared" si="191"/>
        <v>0</v>
      </c>
      <c r="BH61" s="1048">
        <f t="shared" si="191"/>
        <v>0</v>
      </c>
      <c r="BI61" s="1048">
        <f t="shared" si="191"/>
        <v>0</v>
      </c>
      <c r="BJ61" s="1048">
        <f t="shared" si="191"/>
        <v>0</v>
      </c>
      <c r="BK61" s="1048">
        <f t="shared" si="191"/>
        <v>0</v>
      </c>
      <c r="BL61" s="1048">
        <f t="shared" si="191"/>
        <v>0</v>
      </c>
      <c r="BM61" s="1048">
        <f t="shared" si="191"/>
        <v>0</v>
      </c>
      <c r="BN61" s="1048">
        <f t="shared" si="191"/>
        <v>0</v>
      </c>
      <c r="BO61" s="1048">
        <f t="shared" si="191"/>
        <v>0</v>
      </c>
      <c r="BP61" s="1048">
        <f t="shared" si="191"/>
        <v>0</v>
      </c>
      <c r="BQ61" s="1048">
        <f t="shared" si="191"/>
        <v>0</v>
      </c>
      <c r="BR61" s="1048">
        <f t="shared" si="191"/>
        <v>33072551.960000001</v>
      </c>
      <c r="BS61" s="1048">
        <f t="shared" si="191"/>
        <v>33072551.960000001</v>
      </c>
      <c r="BT61" s="1048">
        <f t="shared" ref="BT61:CC61" si="192">+SUM(BT62:BT68)</f>
        <v>33072551.960000001</v>
      </c>
      <c r="BU61" s="1048">
        <f t="shared" si="192"/>
        <v>33072551.960000001</v>
      </c>
      <c r="BV61" s="1048">
        <f t="shared" si="192"/>
        <v>0</v>
      </c>
      <c r="BW61" s="1048">
        <f t="shared" si="192"/>
        <v>0</v>
      </c>
      <c r="BX61" s="1048">
        <f t="shared" si="192"/>
        <v>0</v>
      </c>
      <c r="BY61" s="1048">
        <f t="shared" si="192"/>
        <v>0</v>
      </c>
      <c r="BZ61" s="1048">
        <f t="shared" si="192"/>
        <v>0</v>
      </c>
      <c r="CA61" s="1048">
        <f t="shared" si="192"/>
        <v>0</v>
      </c>
      <c r="CB61" s="1048">
        <f t="shared" si="192"/>
        <v>0</v>
      </c>
      <c r="CC61" s="1048">
        <f t="shared" si="192"/>
        <v>0</v>
      </c>
      <c r="CD61" s="690">
        <f t="shared" si="7"/>
        <v>199600000</v>
      </c>
      <c r="CE61" s="690">
        <f t="shared" ref="CE61:CE68" si="193">+K61+O61+S61+W61+AA61+AE61+AI61+AM61+AQ61+AU61+AY61+BC61+BG61+BK61+BO61+BS61+BW61+CA61</f>
        <v>194804685.28</v>
      </c>
      <c r="CF61" s="690">
        <f>+'Anexo 5.2. infor Gastos mesa 55'!AA71</f>
        <v>194804685</v>
      </c>
      <c r="CG61" s="690">
        <f>+'Anexo 5.2. infor Gastos mesa 55'!AB71</f>
        <v>42168000</v>
      </c>
      <c r="CH61" s="700"/>
      <c r="CI61" s="758">
        <f t="shared" si="175"/>
        <v>0</v>
      </c>
    </row>
    <row r="62" spans="1:87" ht="78" thickTop="1" thickBot="1" x14ac:dyDescent="0.3">
      <c r="A62" s="1184"/>
      <c r="B62" s="1184"/>
      <c r="C62" s="1184"/>
      <c r="D62" s="1184"/>
      <c r="E62" s="1184"/>
      <c r="F62" s="1184"/>
      <c r="G62" s="1188"/>
      <c r="H62" s="686" t="s">
        <v>2356</v>
      </c>
      <c r="I62" s="1046">
        <v>0</v>
      </c>
      <c r="J62" s="687"/>
      <c r="K62" s="687"/>
      <c r="L62" s="687"/>
      <c r="M62" s="687"/>
      <c r="N62" s="687"/>
      <c r="O62" s="687"/>
      <c r="P62" s="687"/>
      <c r="Q62" s="687"/>
      <c r="R62" s="687"/>
      <c r="S62" s="687"/>
      <c r="T62" s="687"/>
      <c r="U62" s="687"/>
      <c r="V62" s="687"/>
      <c r="W62" s="687"/>
      <c r="X62" s="687"/>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c r="AU62" s="687"/>
      <c r="AV62" s="687"/>
      <c r="AW62" s="687"/>
      <c r="AX62" s="687"/>
      <c r="AY62" s="687"/>
      <c r="AZ62" s="687"/>
      <c r="BA62" s="687"/>
      <c r="BB62" s="687"/>
      <c r="BC62" s="687"/>
      <c r="BD62" s="687"/>
      <c r="BE62" s="687"/>
      <c r="BF62" s="687"/>
      <c r="BG62" s="687"/>
      <c r="BH62" s="687"/>
      <c r="BI62" s="687"/>
      <c r="BJ62" s="687"/>
      <c r="BK62" s="687"/>
      <c r="BL62" s="687"/>
      <c r="BM62" s="687"/>
      <c r="BN62" s="687"/>
      <c r="BO62" s="687"/>
      <c r="BP62" s="687"/>
      <c r="BQ62" s="687"/>
      <c r="BR62" s="687"/>
      <c r="BT62" s="687"/>
      <c r="BU62" s="687"/>
      <c r="BV62" s="687"/>
      <c r="BW62" s="687"/>
      <c r="BX62" s="687"/>
      <c r="BY62" s="687"/>
      <c r="BZ62" s="687"/>
      <c r="CA62" s="687">
        <v>0</v>
      </c>
      <c r="CB62" s="687">
        <v>0</v>
      </c>
      <c r="CC62" s="687">
        <v>0</v>
      </c>
      <c r="CD62" s="687">
        <f t="shared" si="7"/>
        <v>0</v>
      </c>
      <c r="CE62" s="687">
        <f t="shared" si="193"/>
        <v>0</v>
      </c>
      <c r="CF62" s="687">
        <f t="shared" ref="CF62:CF68" si="194">+L62+P62+T62+X62+AB62+AF62+AJ62+AN62+AR62+AV62+AZ62+BD62+BH62+BL62+BP62+BT62+BX62+CB62</f>
        <v>0</v>
      </c>
      <c r="CG62" s="687">
        <f t="shared" ref="CG62:CG68" si="195">+M62+Q62+U62+Y62+AC62+AG62+AK62+AO62+AS62+AW62+BA62+BE62+BI62+BM62+BQ62+BU62+BY62+CC62</f>
        <v>0</v>
      </c>
      <c r="CH62" s="439"/>
      <c r="CI62" s="758">
        <f t="shared" si="175"/>
        <v>0</v>
      </c>
    </row>
    <row r="63" spans="1:87" ht="52.5" thickTop="1" thickBot="1" x14ac:dyDescent="0.3">
      <c r="A63" s="444"/>
      <c r="B63" s="444"/>
      <c r="C63" s="445"/>
      <c r="D63" s="445"/>
      <c r="E63" s="445"/>
      <c r="F63" s="445"/>
      <c r="G63" s="445"/>
      <c r="H63" s="686" t="s">
        <v>2358</v>
      </c>
      <c r="I63" s="1046">
        <v>0</v>
      </c>
      <c r="J63" s="687"/>
      <c r="K63" s="687"/>
      <c r="L63" s="687"/>
      <c r="M63" s="687"/>
      <c r="N63" s="687"/>
      <c r="O63" s="687"/>
      <c r="P63" s="687"/>
      <c r="Q63" s="687"/>
      <c r="R63" s="687"/>
      <c r="S63" s="687"/>
      <c r="T63" s="687"/>
      <c r="U63" s="687"/>
      <c r="V63" s="687"/>
      <c r="W63" s="687"/>
      <c r="X63" s="687"/>
      <c r="Y63" s="687"/>
      <c r="Z63" s="687"/>
      <c r="AA63" s="687"/>
      <c r="AB63" s="687"/>
      <c r="AC63" s="687"/>
      <c r="AD63" s="687"/>
      <c r="AE63" s="687"/>
      <c r="AF63" s="687"/>
      <c r="AG63" s="687"/>
      <c r="AH63" s="687"/>
      <c r="AI63" s="687"/>
      <c r="AJ63" s="687"/>
      <c r="AK63" s="687"/>
      <c r="AL63" s="687"/>
      <c r="AM63" s="687"/>
      <c r="AN63" s="687"/>
      <c r="AO63" s="687"/>
      <c r="AP63" s="687"/>
      <c r="AQ63" s="687"/>
      <c r="AR63" s="687"/>
      <c r="AS63" s="687"/>
      <c r="AT63" s="687"/>
      <c r="AU63" s="687"/>
      <c r="AV63" s="687"/>
      <c r="AW63" s="687"/>
      <c r="AX63" s="687"/>
      <c r="AY63" s="687"/>
      <c r="AZ63" s="687"/>
      <c r="BA63" s="687"/>
      <c r="BB63" s="687"/>
      <c r="BC63" s="687"/>
      <c r="BD63" s="687"/>
      <c r="BE63" s="687"/>
      <c r="BF63" s="687"/>
      <c r="BG63" s="687"/>
      <c r="BH63" s="687"/>
      <c r="BI63" s="687"/>
      <c r="BJ63" s="687"/>
      <c r="BK63" s="687"/>
      <c r="BL63" s="687"/>
      <c r="BM63" s="687"/>
      <c r="BN63" s="687"/>
      <c r="BO63" s="687"/>
      <c r="BP63" s="687"/>
      <c r="BQ63" s="687"/>
      <c r="BR63" s="687"/>
      <c r="BS63" s="687"/>
      <c r="BT63" s="687"/>
      <c r="BU63" s="687"/>
      <c r="BV63" s="687"/>
      <c r="BW63" s="687"/>
      <c r="BX63" s="687"/>
      <c r="BY63" s="687"/>
      <c r="BZ63" s="687"/>
      <c r="CA63" s="687"/>
      <c r="CB63" s="687"/>
      <c r="CC63" s="687"/>
      <c r="CD63" s="687">
        <f t="shared" si="7"/>
        <v>0</v>
      </c>
      <c r="CE63" s="687">
        <f t="shared" si="193"/>
        <v>0</v>
      </c>
      <c r="CF63" s="687"/>
      <c r="CG63" s="687"/>
      <c r="CH63" s="439"/>
      <c r="CI63" s="758">
        <f t="shared" si="175"/>
        <v>0</v>
      </c>
    </row>
    <row r="64" spans="1:87" ht="39.75" thickTop="1" thickBot="1" x14ac:dyDescent="0.3">
      <c r="A64" s="444"/>
      <c r="B64" s="444"/>
      <c r="C64" s="446"/>
      <c r="D64" s="446"/>
      <c r="E64" s="445"/>
      <c r="F64" s="445"/>
      <c r="G64" s="445"/>
      <c r="H64" s="686" t="s">
        <v>2361</v>
      </c>
      <c r="I64" s="1046">
        <v>69000000</v>
      </c>
      <c r="J64" s="687">
        <v>35927448.039999999</v>
      </c>
      <c r="K64" s="687">
        <v>35927448.039999999</v>
      </c>
      <c r="L64" s="687">
        <v>35927448.039999999</v>
      </c>
      <c r="M64" s="687">
        <v>9095448.0399999991</v>
      </c>
      <c r="N64" s="687"/>
      <c r="O64" s="687"/>
      <c r="P64" s="687"/>
      <c r="Q64" s="687"/>
      <c r="R64" s="687"/>
      <c r="S64" s="687"/>
      <c r="T64" s="687"/>
      <c r="U64" s="687"/>
      <c r="V64" s="687"/>
      <c r="W64" s="687"/>
      <c r="X64" s="687"/>
      <c r="Y64" s="687"/>
      <c r="Z64" s="687"/>
      <c r="AA64" s="687"/>
      <c r="AB64" s="687"/>
      <c r="AC64" s="687"/>
      <c r="AD64" s="687"/>
      <c r="AE64" s="687"/>
      <c r="AF64" s="687"/>
      <c r="AG64" s="687"/>
      <c r="AH64" s="687"/>
      <c r="AI64" s="687"/>
      <c r="AJ64" s="687"/>
      <c r="AK64" s="687"/>
      <c r="AL64" s="687"/>
      <c r="AM64" s="687"/>
      <c r="AN64" s="687"/>
      <c r="AO64" s="687"/>
      <c r="AP64" s="687"/>
      <c r="AQ64" s="687"/>
      <c r="AR64" s="687"/>
      <c r="AS64" s="687"/>
      <c r="AT64" s="687"/>
      <c r="AU64" s="687"/>
      <c r="AV64" s="687"/>
      <c r="AW64" s="687"/>
      <c r="AX64" s="687"/>
      <c r="AY64" s="687"/>
      <c r="AZ64" s="687"/>
      <c r="BA64" s="687"/>
      <c r="BB64" s="687"/>
      <c r="BC64" s="687"/>
      <c r="BD64" s="687"/>
      <c r="BE64" s="687"/>
      <c r="BF64" s="687"/>
      <c r="BG64" s="687"/>
      <c r="BH64" s="687"/>
      <c r="BI64" s="687"/>
      <c r="BJ64" s="687"/>
      <c r="BK64" s="687"/>
      <c r="BL64" s="687"/>
      <c r="BM64" s="687"/>
      <c r="BN64" s="687"/>
      <c r="BO64" s="687"/>
      <c r="BP64" s="687"/>
      <c r="BQ64" s="687"/>
      <c r="BR64" s="687">
        <v>33072551.960000001</v>
      </c>
      <c r="BS64" s="687">
        <v>33072551.960000001</v>
      </c>
      <c r="BT64" s="687">
        <v>33072551.960000001</v>
      </c>
      <c r="BU64" s="687">
        <v>33072551.960000001</v>
      </c>
      <c r="BV64" s="687"/>
      <c r="BW64" s="687"/>
      <c r="BX64" s="687"/>
      <c r="BY64" s="687"/>
      <c r="BZ64" s="687"/>
      <c r="CA64" s="687"/>
      <c r="CB64" s="687"/>
      <c r="CC64" s="687"/>
      <c r="CD64" s="687">
        <f t="shared" si="7"/>
        <v>69000000</v>
      </c>
      <c r="CE64" s="687">
        <f t="shared" si="193"/>
        <v>69000000</v>
      </c>
      <c r="CF64" s="687">
        <f>+CE64</f>
        <v>69000000</v>
      </c>
      <c r="CG64" s="687">
        <v>42168000</v>
      </c>
      <c r="CH64" s="439"/>
      <c r="CI64" s="758">
        <f t="shared" si="175"/>
        <v>0</v>
      </c>
    </row>
    <row r="65" spans="1:87" ht="52.5" thickTop="1" thickBot="1" x14ac:dyDescent="0.3">
      <c r="A65" s="444"/>
      <c r="B65" s="444"/>
      <c r="C65" s="446"/>
      <c r="D65" s="446"/>
      <c r="E65" s="445"/>
      <c r="F65" s="445"/>
      <c r="G65" s="444"/>
      <c r="H65" s="686" t="s">
        <v>2364</v>
      </c>
      <c r="I65" s="1046">
        <v>70000000</v>
      </c>
      <c r="J65" s="687">
        <v>70000000</v>
      </c>
      <c r="K65" s="687">
        <v>70000000</v>
      </c>
      <c r="L65" s="687">
        <v>70000000</v>
      </c>
      <c r="M65" s="687"/>
      <c r="N65" s="687"/>
      <c r="O65" s="687"/>
      <c r="P65" s="687"/>
      <c r="Q65" s="687"/>
      <c r="R65" s="687"/>
      <c r="S65" s="687"/>
      <c r="T65" s="687"/>
      <c r="U65" s="687"/>
      <c r="V65" s="687"/>
      <c r="W65" s="687"/>
      <c r="X65" s="687"/>
      <c r="Y65" s="687"/>
      <c r="Z65" s="687"/>
      <c r="AA65" s="687"/>
      <c r="AB65" s="687"/>
      <c r="AC65" s="687"/>
      <c r="AD65" s="687"/>
      <c r="AE65" s="687"/>
      <c r="AF65" s="687"/>
      <c r="AG65" s="687"/>
      <c r="AH65" s="687"/>
      <c r="AI65" s="687"/>
      <c r="AJ65" s="687"/>
      <c r="AK65" s="687"/>
      <c r="AL65" s="687"/>
      <c r="AM65" s="687"/>
      <c r="AN65" s="687"/>
      <c r="AO65" s="687"/>
      <c r="AP65" s="687"/>
      <c r="AQ65" s="687"/>
      <c r="AR65" s="687"/>
      <c r="AS65" s="687"/>
      <c r="AT65" s="687"/>
      <c r="AU65" s="687"/>
      <c r="AV65" s="687"/>
      <c r="AW65" s="687"/>
      <c r="AX65" s="687"/>
      <c r="AY65" s="687"/>
      <c r="AZ65" s="687"/>
      <c r="BA65" s="687"/>
      <c r="BB65" s="687"/>
      <c r="BC65" s="687"/>
      <c r="BD65" s="687"/>
      <c r="BE65" s="687"/>
      <c r="BF65" s="687"/>
      <c r="BG65" s="687"/>
      <c r="BH65" s="687"/>
      <c r="BI65" s="687"/>
      <c r="BJ65" s="687"/>
      <c r="BK65" s="687"/>
      <c r="BL65" s="687"/>
      <c r="BM65" s="687"/>
      <c r="BN65" s="687"/>
      <c r="BO65" s="687"/>
      <c r="BP65" s="687"/>
      <c r="BQ65" s="687"/>
      <c r="BR65" s="687"/>
      <c r="BS65" s="687"/>
      <c r="BT65" s="687"/>
      <c r="BU65" s="687"/>
      <c r="BV65" s="687"/>
      <c r="BW65" s="687"/>
      <c r="BX65" s="687"/>
      <c r="BY65" s="687"/>
      <c r="BZ65" s="687"/>
      <c r="CA65" s="687"/>
      <c r="CB65" s="687"/>
      <c r="CC65" s="687"/>
      <c r="CD65" s="687">
        <f t="shared" si="7"/>
        <v>70000000</v>
      </c>
      <c r="CE65" s="687">
        <f t="shared" si="193"/>
        <v>70000000</v>
      </c>
      <c r="CF65" s="687">
        <f>+CE65</f>
        <v>70000000</v>
      </c>
      <c r="CG65" s="687"/>
      <c r="CH65" s="439"/>
      <c r="CI65" s="758">
        <f t="shared" si="175"/>
        <v>0</v>
      </c>
    </row>
    <row r="66" spans="1:87" ht="65.25" thickTop="1" thickBot="1" x14ac:dyDescent="0.3">
      <c r="A66" s="444"/>
      <c r="B66" s="444"/>
      <c r="C66" s="446"/>
      <c r="D66" s="446"/>
      <c r="E66" s="445"/>
      <c r="F66" s="445"/>
      <c r="G66" s="444"/>
      <c r="H66" s="686" t="s">
        <v>2365</v>
      </c>
      <c r="I66" s="1046">
        <v>60600000</v>
      </c>
      <c r="J66" s="687">
        <v>60600000</v>
      </c>
      <c r="K66" s="687">
        <v>55804685.280000001</v>
      </c>
      <c r="L66" s="687">
        <v>55804685.280000001</v>
      </c>
      <c r="M66" s="687">
        <v>0</v>
      </c>
      <c r="N66" s="687"/>
      <c r="O66" s="687"/>
      <c r="P66" s="687"/>
      <c r="Q66" s="687"/>
      <c r="R66" s="687"/>
      <c r="S66" s="687"/>
      <c r="T66" s="687"/>
      <c r="U66" s="687"/>
      <c r="V66" s="687"/>
      <c r="W66" s="687"/>
      <c r="X66" s="687"/>
      <c r="Y66" s="687"/>
      <c r="Z66" s="687"/>
      <c r="AA66" s="687"/>
      <c r="AB66" s="687"/>
      <c r="AC66" s="687"/>
      <c r="AD66" s="687"/>
      <c r="AE66" s="687"/>
      <c r="AF66" s="687"/>
      <c r="AG66" s="687"/>
      <c r="AH66" s="687"/>
      <c r="AI66" s="687"/>
      <c r="AJ66" s="687"/>
      <c r="AK66" s="687"/>
      <c r="AL66" s="687"/>
      <c r="AM66" s="687"/>
      <c r="AN66" s="687"/>
      <c r="AO66" s="687"/>
      <c r="AP66" s="687"/>
      <c r="AQ66" s="687"/>
      <c r="AR66" s="687"/>
      <c r="AS66" s="687"/>
      <c r="AT66" s="687"/>
      <c r="AU66" s="687"/>
      <c r="AV66" s="687"/>
      <c r="AW66" s="687"/>
      <c r="AX66" s="687"/>
      <c r="AY66" s="687"/>
      <c r="AZ66" s="687"/>
      <c r="BA66" s="687"/>
      <c r="BB66" s="687"/>
      <c r="BC66" s="687"/>
      <c r="BD66" s="687"/>
      <c r="BE66" s="687"/>
      <c r="BF66" s="687"/>
      <c r="BG66" s="687"/>
      <c r="BH66" s="687"/>
      <c r="BI66" s="687"/>
      <c r="BJ66" s="687"/>
      <c r="BK66" s="687"/>
      <c r="BL66" s="687"/>
      <c r="BM66" s="687"/>
      <c r="BN66" s="687"/>
      <c r="BO66" s="687"/>
      <c r="BP66" s="687"/>
      <c r="BQ66" s="687"/>
      <c r="BR66" s="687"/>
      <c r="BS66" s="687"/>
      <c r="BT66" s="687"/>
      <c r="BU66" s="687"/>
      <c r="BV66" s="687"/>
      <c r="BW66" s="687"/>
      <c r="BX66" s="687"/>
      <c r="BY66" s="687"/>
      <c r="BZ66" s="687"/>
      <c r="CA66" s="687"/>
      <c r="CB66" s="687"/>
      <c r="CC66" s="687"/>
      <c r="CD66" s="687">
        <f t="shared" si="7"/>
        <v>60600000</v>
      </c>
      <c r="CE66" s="687">
        <f t="shared" si="193"/>
        <v>55804685.280000001</v>
      </c>
      <c r="CF66" s="687">
        <f>+CE66</f>
        <v>55804685.280000001</v>
      </c>
      <c r="CG66" s="687"/>
      <c r="CH66" s="439"/>
      <c r="CI66" s="758">
        <f t="shared" si="175"/>
        <v>0</v>
      </c>
    </row>
    <row r="67" spans="1:87" ht="39.75" thickTop="1" thickBot="1" x14ac:dyDescent="0.3">
      <c r="A67" s="444"/>
      <c r="B67" s="444"/>
      <c r="C67" s="446"/>
      <c r="D67" s="446"/>
      <c r="E67" s="445"/>
      <c r="F67" s="445"/>
      <c r="G67" s="444"/>
      <c r="H67" s="686" t="s">
        <v>2367</v>
      </c>
      <c r="I67" s="1046"/>
      <c r="J67" s="687"/>
      <c r="K67" s="687"/>
      <c r="L67" s="687"/>
      <c r="M67" s="687"/>
      <c r="N67" s="687"/>
      <c r="O67" s="687"/>
      <c r="P67" s="687"/>
      <c r="Q67" s="687"/>
      <c r="R67" s="687"/>
      <c r="S67" s="687"/>
      <c r="T67" s="687"/>
      <c r="U67" s="687"/>
      <c r="V67" s="687"/>
      <c r="W67" s="687"/>
      <c r="X67" s="687"/>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7"/>
      <c r="AW67" s="687"/>
      <c r="AX67" s="687"/>
      <c r="AY67" s="687"/>
      <c r="AZ67" s="687"/>
      <c r="BA67" s="687"/>
      <c r="BB67" s="687"/>
      <c r="BC67" s="687"/>
      <c r="BD67" s="687"/>
      <c r="BE67" s="687"/>
      <c r="BF67" s="687"/>
      <c r="BG67" s="687"/>
      <c r="BH67" s="687"/>
      <c r="BI67" s="687"/>
      <c r="BJ67" s="687"/>
      <c r="BK67" s="687"/>
      <c r="BL67" s="687"/>
      <c r="BM67" s="687"/>
      <c r="BN67" s="687"/>
      <c r="BO67" s="687"/>
      <c r="BP67" s="687"/>
      <c r="BQ67" s="687"/>
      <c r="BR67" s="687"/>
      <c r="BS67" s="687"/>
      <c r="BT67" s="687"/>
      <c r="BU67" s="687"/>
      <c r="BV67" s="687"/>
      <c r="BW67" s="687"/>
      <c r="BX67" s="687"/>
      <c r="BY67" s="687"/>
      <c r="BZ67" s="687"/>
      <c r="CA67" s="687"/>
      <c r="CB67" s="687"/>
      <c r="CC67" s="687"/>
      <c r="CD67" s="687">
        <f t="shared" si="7"/>
        <v>0</v>
      </c>
      <c r="CE67" s="687">
        <f t="shared" si="193"/>
        <v>0</v>
      </c>
      <c r="CF67" s="687">
        <f t="shared" si="194"/>
        <v>0</v>
      </c>
      <c r="CG67" s="687">
        <f t="shared" si="195"/>
        <v>0</v>
      </c>
      <c r="CH67" s="439"/>
      <c r="CI67" s="758">
        <f t="shared" ref="CI67:CI98" si="196">+I67-CD67</f>
        <v>0</v>
      </c>
    </row>
    <row r="68" spans="1:87" ht="52.5" thickTop="1" thickBot="1" x14ac:dyDescent="0.3">
      <c r="A68" s="444"/>
      <c r="B68" s="444"/>
      <c r="C68" s="446"/>
      <c r="D68" s="446"/>
      <c r="E68" s="445"/>
      <c r="F68" s="445"/>
      <c r="G68" s="444"/>
      <c r="H68" s="686" t="s">
        <v>2369</v>
      </c>
      <c r="I68" s="1046"/>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c r="AI68" s="687"/>
      <c r="AJ68" s="687"/>
      <c r="AK68" s="687"/>
      <c r="AL68" s="687"/>
      <c r="AM68" s="687"/>
      <c r="AN68" s="687"/>
      <c r="AO68" s="687"/>
      <c r="AP68" s="687"/>
      <c r="AQ68" s="687"/>
      <c r="AR68" s="687"/>
      <c r="AS68" s="687"/>
      <c r="AT68" s="687"/>
      <c r="AU68" s="687"/>
      <c r="AV68" s="687"/>
      <c r="AW68" s="687"/>
      <c r="AX68" s="687"/>
      <c r="AY68" s="687"/>
      <c r="AZ68" s="687"/>
      <c r="BA68" s="687"/>
      <c r="BB68" s="687"/>
      <c r="BC68" s="687"/>
      <c r="BD68" s="687"/>
      <c r="BE68" s="687"/>
      <c r="BF68" s="687"/>
      <c r="BG68" s="687"/>
      <c r="BH68" s="687"/>
      <c r="BI68" s="687"/>
      <c r="BJ68" s="687"/>
      <c r="BK68" s="687"/>
      <c r="BL68" s="687"/>
      <c r="BM68" s="687"/>
      <c r="BN68" s="687"/>
      <c r="BO68" s="687"/>
      <c r="BP68" s="687"/>
      <c r="BQ68" s="687"/>
      <c r="BR68" s="687"/>
      <c r="BS68" s="687"/>
      <c r="BT68" s="687"/>
      <c r="BU68" s="687"/>
      <c r="BV68" s="687"/>
      <c r="BW68" s="687"/>
      <c r="BX68" s="687"/>
      <c r="BY68" s="687"/>
      <c r="BZ68" s="687"/>
      <c r="CA68" s="687"/>
      <c r="CB68" s="687"/>
      <c r="CC68" s="687"/>
      <c r="CD68" s="687">
        <f t="shared" ref="CD68:CD131" si="197">+J68+N68+R68+V68+Z68+AD68+AH68+AL68+AP68+AT68+AX68+BB68+BF68+BJ68+BN68+BR68+BV68+BZ68</f>
        <v>0</v>
      </c>
      <c r="CE68" s="687">
        <f t="shared" si="193"/>
        <v>0</v>
      </c>
      <c r="CF68" s="687">
        <f t="shared" si="194"/>
        <v>0</v>
      </c>
      <c r="CG68" s="687">
        <f t="shared" si="195"/>
        <v>0</v>
      </c>
      <c r="CH68" s="439"/>
      <c r="CI68" s="758">
        <f t="shared" si="196"/>
        <v>0</v>
      </c>
    </row>
    <row r="69" spans="1:87" ht="27" thickTop="1" thickBot="1" x14ac:dyDescent="0.3">
      <c r="A69" s="717"/>
      <c r="B69" s="717"/>
      <c r="C69" s="716"/>
      <c r="D69" s="716"/>
      <c r="E69" s="716"/>
      <c r="F69" s="716"/>
      <c r="G69" s="717"/>
      <c r="H69" s="708" t="s">
        <v>2167</v>
      </c>
      <c r="I69" s="1047">
        <f t="shared" ref="I69:BS69" si="198">+I70</f>
        <v>1702000000</v>
      </c>
      <c r="J69" s="1047">
        <f t="shared" si="198"/>
        <v>0</v>
      </c>
      <c r="K69" s="1047">
        <f t="shared" si="198"/>
        <v>0</v>
      </c>
      <c r="L69" s="1047">
        <f t="shared" si="198"/>
        <v>0</v>
      </c>
      <c r="M69" s="1047">
        <f t="shared" si="198"/>
        <v>0</v>
      </c>
      <c r="N69" s="1047">
        <f t="shared" si="198"/>
        <v>0</v>
      </c>
      <c r="O69" s="1047">
        <f t="shared" si="198"/>
        <v>0</v>
      </c>
      <c r="P69" s="1047">
        <f t="shared" si="198"/>
        <v>0</v>
      </c>
      <c r="Q69" s="1047">
        <f t="shared" si="198"/>
        <v>0</v>
      </c>
      <c r="R69" s="1047">
        <f t="shared" si="198"/>
        <v>1000000000</v>
      </c>
      <c r="S69" s="1047">
        <f t="shared" si="198"/>
        <v>1000000000</v>
      </c>
      <c r="T69" s="1047">
        <f t="shared" si="198"/>
        <v>1000000000</v>
      </c>
      <c r="U69" s="1047">
        <f t="shared" si="198"/>
        <v>1000000000</v>
      </c>
      <c r="V69" s="1047">
        <f t="shared" si="198"/>
        <v>0</v>
      </c>
      <c r="W69" s="1047">
        <f t="shared" si="198"/>
        <v>0</v>
      </c>
      <c r="X69" s="1047">
        <f t="shared" si="198"/>
        <v>0</v>
      </c>
      <c r="Y69" s="1047">
        <f t="shared" si="198"/>
        <v>0</v>
      </c>
      <c r="Z69" s="1047">
        <f t="shared" si="198"/>
        <v>0</v>
      </c>
      <c r="AA69" s="1047">
        <f t="shared" si="198"/>
        <v>0</v>
      </c>
      <c r="AB69" s="1047">
        <f t="shared" si="198"/>
        <v>0</v>
      </c>
      <c r="AC69" s="1047">
        <f t="shared" si="198"/>
        <v>0</v>
      </c>
      <c r="AD69" s="1047">
        <f t="shared" si="198"/>
        <v>0</v>
      </c>
      <c r="AE69" s="1047">
        <f t="shared" si="198"/>
        <v>0</v>
      </c>
      <c r="AF69" s="1047">
        <f t="shared" si="198"/>
        <v>0</v>
      </c>
      <c r="AG69" s="1047">
        <f t="shared" si="198"/>
        <v>0</v>
      </c>
      <c r="AH69" s="1047">
        <f t="shared" si="198"/>
        <v>0</v>
      </c>
      <c r="AI69" s="1047">
        <f t="shared" si="198"/>
        <v>0</v>
      </c>
      <c r="AJ69" s="1047">
        <f t="shared" si="198"/>
        <v>0</v>
      </c>
      <c r="AK69" s="1047">
        <f t="shared" si="198"/>
        <v>0</v>
      </c>
      <c r="AL69" s="1047">
        <f t="shared" si="198"/>
        <v>0</v>
      </c>
      <c r="AM69" s="1047">
        <f t="shared" si="198"/>
        <v>0</v>
      </c>
      <c r="AN69" s="1047">
        <f t="shared" si="198"/>
        <v>0</v>
      </c>
      <c r="AO69" s="1047">
        <f t="shared" si="198"/>
        <v>0</v>
      </c>
      <c r="AP69" s="1047">
        <f t="shared" si="198"/>
        <v>0</v>
      </c>
      <c r="AQ69" s="1047">
        <f t="shared" si="198"/>
        <v>0</v>
      </c>
      <c r="AR69" s="1047">
        <f t="shared" si="198"/>
        <v>0</v>
      </c>
      <c r="AS69" s="1047">
        <f t="shared" si="198"/>
        <v>0</v>
      </c>
      <c r="AT69" s="1047">
        <f t="shared" si="198"/>
        <v>0</v>
      </c>
      <c r="AU69" s="1047">
        <f t="shared" si="198"/>
        <v>0</v>
      </c>
      <c r="AV69" s="1047">
        <f t="shared" si="198"/>
        <v>0</v>
      </c>
      <c r="AW69" s="1047">
        <f t="shared" si="198"/>
        <v>0</v>
      </c>
      <c r="AX69" s="1047">
        <f t="shared" si="198"/>
        <v>0</v>
      </c>
      <c r="AY69" s="1047">
        <f t="shared" si="198"/>
        <v>0</v>
      </c>
      <c r="AZ69" s="1047">
        <f t="shared" si="198"/>
        <v>0</v>
      </c>
      <c r="BA69" s="1047">
        <f t="shared" si="198"/>
        <v>0</v>
      </c>
      <c r="BB69" s="1047">
        <f t="shared" si="198"/>
        <v>0</v>
      </c>
      <c r="BC69" s="1047">
        <f t="shared" si="198"/>
        <v>0</v>
      </c>
      <c r="BD69" s="1047">
        <f t="shared" si="198"/>
        <v>0</v>
      </c>
      <c r="BE69" s="1047">
        <f t="shared" si="198"/>
        <v>0</v>
      </c>
      <c r="BF69" s="1047">
        <f t="shared" si="198"/>
        <v>0</v>
      </c>
      <c r="BG69" s="1047">
        <f t="shared" si="198"/>
        <v>0</v>
      </c>
      <c r="BH69" s="1047">
        <f t="shared" si="198"/>
        <v>0</v>
      </c>
      <c r="BI69" s="1047">
        <f t="shared" si="198"/>
        <v>0</v>
      </c>
      <c r="BJ69" s="1047">
        <f t="shared" si="198"/>
        <v>0</v>
      </c>
      <c r="BK69" s="1047">
        <f t="shared" si="198"/>
        <v>0</v>
      </c>
      <c r="BL69" s="1047">
        <f t="shared" si="198"/>
        <v>0</v>
      </c>
      <c r="BM69" s="1047">
        <f t="shared" si="198"/>
        <v>0</v>
      </c>
      <c r="BN69" s="1047">
        <f t="shared" si="198"/>
        <v>0</v>
      </c>
      <c r="BO69" s="1047">
        <f t="shared" si="198"/>
        <v>0</v>
      </c>
      <c r="BP69" s="1047">
        <f t="shared" si="198"/>
        <v>0</v>
      </c>
      <c r="BQ69" s="1047">
        <f t="shared" si="198"/>
        <v>0</v>
      </c>
      <c r="BR69" s="1047">
        <f t="shared" si="198"/>
        <v>0</v>
      </c>
      <c r="BS69" s="1047">
        <f t="shared" si="198"/>
        <v>0</v>
      </c>
      <c r="BT69" s="1047">
        <f t="shared" ref="BT69:CC69" si="199">+BT70</f>
        <v>0</v>
      </c>
      <c r="BU69" s="1047">
        <f t="shared" si="199"/>
        <v>0</v>
      </c>
      <c r="BV69" s="1047">
        <f t="shared" si="199"/>
        <v>702000000</v>
      </c>
      <c r="BW69" s="1047">
        <f t="shared" si="199"/>
        <v>218456308</v>
      </c>
      <c r="BX69" s="1047">
        <f t="shared" si="199"/>
        <v>218456308</v>
      </c>
      <c r="BY69" s="1047">
        <f t="shared" si="199"/>
        <v>218456308</v>
      </c>
      <c r="BZ69" s="1047">
        <f t="shared" si="199"/>
        <v>0</v>
      </c>
      <c r="CA69" s="1047">
        <f t="shared" si="199"/>
        <v>0</v>
      </c>
      <c r="CB69" s="1047">
        <f t="shared" si="199"/>
        <v>0</v>
      </c>
      <c r="CC69" s="1047">
        <f t="shared" si="199"/>
        <v>0</v>
      </c>
      <c r="CD69" s="752">
        <f t="shared" si="7"/>
        <v>1702000000</v>
      </c>
      <c r="CE69" s="752">
        <f>+CE70</f>
        <v>1218456308</v>
      </c>
      <c r="CF69" s="752">
        <f>+CF70</f>
        <v>1218456308</v>
      </c>
      <c r="CG69" s="752">
        <f>+CG70</f>
        <v>1218456308</v>
      </c>
      <c r="CH69" s="709"/>
      <c r="CI69" s="758">
        <f t="shared" si="196"/>
        <v>0</v>
      </c>
    </row>
    <row r="70" spans="1:87" ht="27" thickTop="1" thickBot="1" x14ac:dyDescent="0.3">
      <c r="A70" s="710"/>
      <c r="B70" s="710"/>
      <c r="C70" s="711"/>
      <c r="D70" s="711"/>
      <c r="E70" s="712"/>
      <c r="F70" s="712"/>
      <c r="G70" s="710"/>
      <c r="H70" s="689" t="s">
        <v>2168</v>
      </c>
      <c r="I70" s="1048">
        <f t="shared" ref="I70:BS70" si="200">+SUM(I71:I74)</f>
        <v>1702000000</v>
      </c>
      <c r="J70" s="1048">
        <f t="shared" si="200"/>
        <v>0</v>
      </c>
      <c r="K70" s="1048">
        <f t="shared" si="200"/>
        <v>0</v>
      </c>
      <c r="L70" s="1048">
        <f t="shared" si="200"/>
        <v>0</v>
      </c>
      <c r="M70" s="1048">
        <f t="shared" si="200"/>
        <v>0</v>
      </c>
      <c r="N70" s="1048">
        <f t="shared" si="200"/>
        <v>0</v>
      </c>
      <c r="O70" s="1048">
        <f t="shared" si="200"/>
        <v>0</v>
      </c>
      <c r="P70" s="1048">
        <f t="shared" si="200"/>
        <v>0</v>
      </c>
      <c r="Q70" s="1048">
        <f t="shared" si="200"/>
        <v>0</v>
      </c>
      <c r="R70" s="1048">
        <f t="shared" si="200"/>
        <v>1000000000</v>
      </c>
      <c r="S70" s="1048">
        <f t="shared" si="200"/>
        <v>1000000000</v>
      </c>
      <c r="T70" s="1048">
        <f t="shared" si="200"/>
        <v>1000000000</v>
      </c>
      <c r="U70" s="1048">
        <f t="shared" si="200"/>
        <v>1000000000</v>
      </c>
      <c r="V70" s="1048">
        <f t="shared" si="200"/>
        <v>0</v>
      </c>
      <c r="W70" s="1048">
        <f t="shared" si="200"/>
        <v>0</v>
      </c>
      <c r="X70" s="1048">
        <f t="shared" si="200"/>
        <v>0</v>
      </c>
      <c r="Y70" s="1048">
        <f t="shared" si="200"/>
        <v>0</v>
      </c>
      <c r="Z70" s="1048">
        <f t="shared" si="200"/>
        <v>0</v>
      </c>
      <c r="AA70" s="1048">
        <f t="shared" si="200"/>
        <v>0</v>
      </c>
      <c r="AB70" s="1048">
        <f t="shared" si="200"/>
        <v>0</v>
      </c>
      <c r="AC70" s="1048">
        <f t="shared" si="200"/>
        <v>0</v>
      </c>
      <c r="AD70" s="1048">
        <f t="shared" si="200"/>
        <v>0</v>
      </c>
      <c r="AE70" s="1048">
        <f t="shared" si="200"/>
        <v>0</v>
      </c>
      <c r="AF70" s="1048">
        <f t="shared" si="200"/>
        <v>0</v>
      </c>
      <c r="AG70" s="1048">
        <f t="shared" si="200"/>
        <v>0</v>
      </c>
      <c r="AH70" s="1048">
        <f t="shared" si="200"/>
        <v>0</v>
      </c>
      <c r="AI70" s="1048">
        <f t="shared" si="200"/>
        <v>0</v>
      </c>
      <c r="AJ70" s="1048">
        <f t="shared" si="200"/>
        <v>0</v>
      </c>
      <c r="AK70" s="1048">
        <f t="shared" si="200"/>
        <v>0</v>
      </c>
      <c r="AL70" s="1048">
        <f t="shared" si="200"/>
        <v>0</v>
      </c>
      <c r="AM70" s="1048">
        <f t="shared" si="200"/>
        <v>0</v>
      </c>
      <c r="AN70" s="1048">
        <f t="shared" si="200"/>
        <v>0</v>
      </c>
      <c r="AO70" s="1048">
        <f t="shared" si="200"/>
        <v>0</v>
      </c>
      <c r="AP70" s="1048">
        <f t="shared" si="200"/>
        <v>0</v>
      </c>
      <c r="AQ70" s="1048">
        <f t="shared" si="200"/>
        <v>0</v>
      </c>
      <c r="AR70" s="1048">
        <f t="shared" si="200"/>
        <v>0</v>
      </c>
      <c r="AS70" s="1048">
        <f t="shared" si="200"/>
        <v>0</v>
      </c>
      <c r="AT70" s="1048">
        <f t="shared" si="200"/>
        <v>0</v>
      </c>
      <c r="AU70" s="1048">
        <f t="shared" si="200"/>
        <v>0</v>
      </c>
      <c r="AV70" s="1048">
        <f t="shared" si="200"/>
        <v>0</v>
      </c>
      <c r="AW70" s="1048">
        <f t="shared" si="200"/>
        <v>0</v>
      </c>
      <c r="AX70" s="1048">
        <f t="shared" si="200"/>
        <v>0</v>
      </c>
      <c r="AY70" s="1048">
        <f t="shared" si="200"/>
        <v>0</v>
      </c>
      <c r="AZ70" s="1048">
        <f t="shared" si="200"/>
        <v>0</v>
      </c>
      <c r="BA70" s="1048">
        <f t="shared" si="200"/>
        <v>0</v>
      </c>
      <c r="BB70" s="1048">
        <f t="shared" si="200"/>
        <v>0</v>
      </c>
      <c r="BC70" s="1048">
        <f t="shared" si="200"/>
        <v>0</v>
      </c>
      <c r="BD70" s="1048">
        <f t="shared" si="200"/>
        <v>0</v>
      </c>
      <c r="BE70" s="1048">
        <f t="shared" si="200"/>
        <v>0</v>
      </c>
      <c r="BF70" s="1048">
        <f t="shared" si="200"/>
        <v>0</v>
      </c>
      <c r="BG70" s="1048">
        <f t="shared" si="200"/>
        <v>0</v>
      </c>
      <c r="BH70" s="1048">
        <f t="shared" si="200"/>
        <v>0</v>
      </c>
      <c r="BI70" s="1048">
        <f t="shared" si="200"/>
        <v>0</v>
      </c>
      <c r="BJ70" s="1048">
        <f t="shared" si="200"/>
        <v>0</v>
      </c>
      <c r="BK70" s="1048">
        <f t="shared" si="200"/>
        <v>0</v>
      </c>
      <c r="BL70" s="1048">
        <f t="shared" si="200"/>
        <v>0</v>
      </c>
      <c r="BM70" s="1048">
        <f t="shared" si="200"/>
        <v>0</v>
      </c>
      <c r="BN70" s="1048">
        <f t="shared" si="200"/>
        <v>0</v>
      </c>
      <c r="BO70" s="1048">
        <f t="shared" si="200"/>
        <v>0</v>
      </c>
      <c r="BP70" s="1048">
        <f t="shared" si="200"/>
        <v>0</v>
      </c>
      <c r="BQ70" s="1048">
        <f t="shared" si="200"/>
        <v>0</v>
      </c>
      <c r="BR70" s="1048">
        <f t="shared" si="200"/>
        <v>0</v>
      </c>
      <c r="BS70" s="1048">
        <f t="shared" si="200"/>
        <v>0</v>
      </c>
      <c r="BT70" s="1048">
        <f t="shared" ref="BT70:CC70" si="201">+SUM(BT71:BT74)</f>
        <v>0</v>
      </c>
      <c r="BU70" s="1048">
        <f t="shared" si="201"/>
        <v>0</v>
      </c>
      <c r="BV70" s="1048">
        <f t="shared" si="201"/>
        <v>702000000</v>
      </c>
      <c r="BW70" s="1048">
        <f t="shared" si="201"/>
        <v>218456308</v>
      </c>
      <c r="BX70" s="1048">
        <f t="shared" si="201"/>
        <v>218456308</v>
      </c>
      <c r="BY70" s="1048">
        <f t="shared" si="201"/>
        <v>218456308</v>
      </c>
      <c r="BZ70" s="1048">
        <f t="shared" si="201"/>
        <v>0</v>
      </c>
      <c r="CA70" s="1048">
        <f t="shared" si="201"/>
        <v>0</v>
      </c>
      <c r="CB70" s="1048">
        <f t="shared" si="201"/>
        <v>0</v>
      </c>
      <c r="CC70" s="1048">
        <f t="shared" si="201"/>
        <v>0</v>
      </c>
      <c r="CD70" s="690">
        <f t="shared" si="7"/>
        <v>1702000000</v>
      </c>
      <c r="CE70" s="690">
        <f t="shared" ref="CE70" si="202">+K70+O70+S70+W70+AA70+AE70+AI70+AM70+AQ70+AU70+AY70+BC70+BG70+BK70+BO70+BS70+BW70+CA70</f>
        <v>1218456308</v>
      </c>
      <c r="CF70" s="690">
        <f>+'Anexo 5.2. infor Gastos mesa 55'!AA74</f>
        <v>1218456308</v>
      </c>
      <c r="CG70" s="690">
        <f>+'Anexo 5.2. infor Gastos mesa 55'!AB74</f>
        <v>1218456308</v>
      </c>
      <c r="CH70" s="700"/>
      <c r="CI70" s="758">
        <f t="shared" si="196"/>
        <v>0</v>
      </c>
    </row>
    <row r="71" spans="1:87" ht="27" thickTop="1" thickBot="1" x14ac:dyDescent="0.3">
      <c r="A71" s="444"/>
      <c r="B71" s="444"/>
      <c r="C71" s="446"/>
      <c r="D71" s="446"/>
      <c r="E71" s="445"/>
      <c r="F71" s="445"/>
      <c r="G71" s="444"/>
      <c r="H71" s="686" t="s">
        <v>2372</v>
      </c>
      <c r="I71" s="1046">
        <v>851000000</v>
      </c>
      <c r="J71" s="687"/>
      <c r="K71" s="687"/>
      <c r="L71" s="687"/>
      <c r="M71" s="687"/>
      <c r="N71" s="687"/>
      <c r="O71" s="687"/>
      <c r="P71" s="687"/>
      <c r="Q71" s="687"/>
      <c r="R71" s="687">
        <v>500000000</v>
      </c>
      <c r="S71" s="687">
        <v>500000000</v>
      </c>
      <c r="T71" s="687">
        <v>500000000</v>
      </c>
      <c r="U71" s="687">
        <v>500000000</v>
      </c>
      <c r="V71" s="687"/>
      <c r="W71" s="687"/>
      <c r="X71" s="687"/>
      <c r="Y71" s="687"/>
      <c r="Z71" s="687"/>
      <c r="AA71" s="687"/>
      <c r="AB71" s="687"/>
      <c r="AC71" s="687"/>
      <c r="AD71" s="687"/>
      <c r="AE71" s="687"/>
      <c r="AF71" s="687"/>
      <c r="AG71" s="687"/>
      <c r="AH71" s="687"/>
      <c r="AI71" s="687"/>
      <c r="AJ71" s="687"/>
      <c r="AK71" s="687"/>
      <c r="AL71" s="687"/>
      <c r="AM71" s="687"/>
      <c r="AN71" s="687"/>
      <c r="AO71" s="687"/>
      <c r="AP71" s="687"/>
      <c r="AQ71" s="687"/>
      <c r="AR71" s="687"/>
      <c r="AS71" s="687"/>
      <c r="AT71" s="687"/>
      <c r="AU71" s="687"/>
      <c r="AV71" s="687"/>
      <c r="AW71" s="687"/>
      <c r="AX71" s="687"/>
      <c r="AY71" s="687"/>
      <c r="AZ71" s="687"/>
      <c r="BA71" s="687"/>
      <c r="BB71" s="687"/>
      <c r="BC71" s="687"/>
      <c r="BD71" s="687"/>
      <c r="BE71" s="687"/>
      <c r="BF71" s="687"/>
      <c r="BG71" s="687"/>
      <c r="BH71" s="687"/>
      <c r="BI71" s="687"/>
      <c r="BJ71" s="687"/>
      <c r="BK71" s="687"/>
      <c r="BL71" s="687"/>
      <c r="BM71" s="687"/>
      <c r="BN71" s="687"/>
      <c r="BQ71" s="687"/>
      <c r="BR71" s="687"/>
      <c r="BT71" s="687"/>
      <c r="BU71" s="687"/>
      <c r="BV71" s="687">
        <v>351000000</v>
      </c>
      <c r="BW71" s="687">
        <v>109228154</v>
      </c>
      <c r="BX71" s="687">
        <v>109228154</v>
      </c>
      <c r="BY71" s="687">
        <v>109228154</v>
      </c>
      <c r="BZ71" s="687"/>
      <c r="CA71" s="687"/>
      <c r="CB71" s="687"/>
      <c r="CC71" s="687"/>
      <c r="CD71" s="687">
        <f t="shared" si="197"/>
        <v>851000000</v>
      </c>
      <c r="CE71" s="687">
        <f>+CE70/2</f>
        <v>609228154</v>
      </c>
      <c r="CF71" s="687">
        <v>609228153.79999995</v>
      </c>
      <c r="CG71" s="687">
        <f>+CF71</f>
        <v>609228153.79999995</v>
      </c>
      <c r="CH71" s="439"/>
      <c r="CI71" s="758">
        <f t="shared" si="196"/>
        <v>0</v>
      </c>
    </row>
    <row r="72" spans="1:87" ht="27" thickTop="1" thickBot="1" x14ac:dyDescent="0.3">
      <c r="A72" s="444"/>
      <c r="B72" s="444"/>
      <c r="C72" s="446"/>
      <c r="D72" s="446"/>
      <c r="E72" s="445"/>
      <c r="F72" s="445"/>
      <c r="G72" s="444"/>
      <c r="H72" s="686" t="s">
        <v>2375</v>
      </c>
      <c r="I72" s="1046"/>
      <c r="J72" s="687"/>
      <c r="K72" s="687"/>
      <c r="L72" s="687"/>
      <c r="M72" s="687"/>
      <c r="N72" s="687"/>
      <c r="O72" s="687"/>
      <c r="P72" s="687"/>
      <c r="Q72" s="687"/>
      <c r="R72" s="687"/>
      <c r="S72" s="687"/>
      <c r="T72" s="687">
        <v>0</v>
      </c>
      <c r="U72" s="687">
        <v>0</v>
      </c>
      <c r="V72" s="687"/>
      <c r="W72" s="687"/>
      <c r="X72" s="687"/>
      <c r="Y72" s="687"/>
      <c r="Z72" s="687"/>
      <c r="AA72" s="687"/>
      <c r="AB72" s="687"/>
      <c r="AC72" s="687"/>
      <c r="AD72" s="687"/>
      <c r="AE72" s="687"/>
      <c r="AF72" s="687"/>
      <c r="AG72" s="687"/>
      <c r="AH72" s="687"/>
      <c r="AI72" s="687"/>
      <c r="AJ72" s="687"/>
      <c r="AK72" s="687"/>
      <c r="AL72" s="687"/>
      <c r="AM72" s="687"/>
      <c r="AN72" s="687"/>
      <c r="AO72" s="687"/>
      <c r="AP72" s="687"/>
      <c r="AQ72" s="687"/>
      <c r="AR72" s="687"/>
      <c r="AS72" s="687"/>
      <c r="AT72" s="687"/>
      <c r="AU72" s="687"/>
      <c r="AV72" s="687"/>
      <c r="AW72" s="687"/>
      <c r="AX72" s="687"/>
      <c r="AY72" s="687"/>
      <c r="AZ72" s="687"/>
      <c r="BA72" s="687"/>
      <c r="BB72" s="687"/>
      <c r="BC72" s="687"/>
      <c r="BD72" s="687"/>
      <c r="BE72" s="687"/>
      <c r="BF72" s="687"/>
      <c r="BG72" s="687"/>
      <c r="BH72" s="687"/>
      <c r="BI72" s="687"/>
      <c r="BJ72" s="687"/>
      <c r="BK72" s="687"/>
      <c r="BL72" s="687"/>
      <c r="BM72" s="687"/>
      <c r="BN72" s="687"/>
      <c r="BO72" s="687"/>
      <c r="BP72" s="687"/>
      <c r="BQ72" s="687"/>
      <c r="BR72" s="687"/>
      <c r="BS72" s="687"/>
      <c r="BT72" s="687"/>
      <c r="BU72" s="687"/>
      <c r="BV72" s="687"/>
      <c r="BW72" s="687"/>
      <c r="BX72" s="687"/>
      <c r="BY72" s="687"/>
      <c r="BZ72" s="687"/>
      <c r="CA72" s="687"/>
      <c r="CB72" s="687"/>
      <c r="CC72" s="687"/>
      <c r="CD72" s="687">
        <f t="shared" si="197"/>
        <v>0</v>
      </c>
      <c r="CE72" s="687">
        <f t="shared" ref="CE72:CG73" si="203">+K72+O72+S72+W72+AA72+AE72+AI72+AM72+AQ72+AU72+AY72+BC72+BO72+BS72+CA72</f>
        <v>0</v>
      </c>
      <c r="CF72" s="687">
        <f t="shared" si="203"/>
        <v>0</v>
      </c>
      <c r="CG72" s="687">
        <f t="shared" si="203"/>
        <v>0</v>
      </c>
      <c r="CH72" s="439"/>
      <c r="CI72" s="758">
        <f t="shared" si="196"/>
        <v>0</v>
      </c>
    </row>
    <row r="73" spans="1:87" ht="27" thickTop="1" thickBot="1" x14ac:dyDescent="0.3">
      <c r="A73" s="444"/>
      <c r="B73" s="444"/>
      <c r="C73" s="446"/>
      <c r="D73" s="446"/>
      <c r="E73" s="445"/>
      <c r="F73" s="445"/>
      <c r="G73" s="444"/>
      <c r="H73" s="686" t="s">
        <v>2377</v>
      </c>
      <c r="I73" s="1046"/>
      <c r="J73" s="687"/>
      <c r="K73" s="687"/>
      <c r="L73" s="687"/>
      <c r="M73" s="687"/>
      <c r="N73" s="687"/>
      <c r="O73" s="687"/>
      <c r="P73" s="687"/>
      <c r="Q73" s="687"/>
      <c r="R73" s="687"/>
      <c r="S73" s="687"/>
      <c r="T73" s="687">
        <v>0</v>
      </c>
      <c r="U73" s="687">
        <v>0</v>
      </c>
      <c r="V73" s="687"/>
      <c r="W73" s="687"/>
      <c r="X73" s="687"/>
      <c r="Y73" s="687"/>
      <c r="Z73" s="687"/>
      <c r="AA73" s="687"/>
      <c r="AB73" s="687"/>
      <c r="AC73" s="687"/>
      <c r="AD73" s="687"/>
      <c r="AE73" s="687"/>
      <c r="AF73" s="687"/>
      <c r="AG73" s="687"/>
      <c r="AH73" s="687"/>
      <c r="AI73" s="687"/>
      <c r="AJ73" s="687"/>
      <c r="AK73" s="687"/>
      <c r="AL73" s="687"/>
      <c r="AM73" s="687"/>
      <c r="AN73" s="687"/>
      <c r="AO73" s="687"/>
      <c r="AP73" s="687"/>
      <c r="AQ73" s="687"/>
      <c r="AR73" s="687"/>
      <c r="AS73" s="687"/>
      <c r="AT73" s="687"/>
      <c r="AU73" s="687"/>
      <c r="AV73" s="687"/>
      <c r="AW73" s="687"/>
      <c r="AX73" s="687"/>
      <c r="AY73" s="687"/>
      <c r="AZ73" s="687"/>
      <c r="BA73" s="687"/>
      <c r="BB73" s="687"/>
      <c r="BC73" s="687"/>
      <c r="BD73" s="687"/>
      <c r="BE73" s="687"/>
      <c r="BF73" s="687"/>
      <c r="BG73" s="687"/>
      <c r="BH73" s="687"/>
      <c r="BI73" s="687"/>
      <c r="BJ73" s="687"/>
      <c r="BK73" s="687"/>
      <c r="BL73" s="687"/>
      <c r="BM73" s="687"/>
      <c r="BN73" s="687"/>
      <c r="BO73" s="687"/>
      <c r="BP73" s="687"/>
      <c r="BQ73" s="687"/>
      <c r="BR73" s="687"/>
      <c r="BS73" s="687"/>
      <c r="BT73" s="687"/>
      <c r="BU73" s="687"/>
      <c r="BV73" s="687"/>
      <c r="BW73" s="687"/>
      <c r="BX73" s="687"/>
      <c r="BY73" s="687"/>
      <c r="BZ73" s="687"/>
      <c r="CA73" s="687"/>
      <c r="CB73" s="687"/>
      <c r="CC73" s="687"/>
      <c r="CD73" s="687">
        <f t="shared" si="197"/>
        <v>0</v>
      </c>
      <c r="CE73" s="687">
        <f t="shared" si="203"/>
        <v>0</v>
      </c>
      <c r="CF73" s="687">
        <f t="shared" si="203"/>
        <v>0</v>
      </c>
      <c r="CG73" s="687">
        <f t="shared" si="203"/>
        <v>0</v>
      </c>
      <c r="CH73" s="439"/>
      <c r="CI73" s="758">
        <f t="shared" si="196"/>
        <v>0</v>
      </c>
    </row>
    <row r="74" spans="1:87" ht="27" thickTop="1" thickBot="1" x14ac:dyDescent="0.3">
      <c r="A74" s="444"/>
      <c r="B74" s="444"/>
      <c r="C74" s="446"/>
      <c r="D74" s="446"/>
      <c r="E74" s="445"/>
      <c r="F74" s="445"/>
      <c r="G74" s="444"/>
      <c r="H74" s="686" t="s">
        <v>2378</v>
      </c>
      <c r="I74" s="1046">
        <v>851000000</v>
      </c>
      <c r="J74" s="687"/>
      <c r="K74" s="687"/>
      <c r="L74" s="687"/>
      <c r="M74" s="687"/>
      <c r="N74" s="687"/>
      <c r="O74" s="687"/>
      <c r="P74" s="687"/>
      <c r="Q74" s="687"/>
      <c r="R74" s="687">
        <v>500000000</v>
      </c>
      <c r="S74" s="687">
        <v>500000000</v>
      </c>
      <c r="T74" s="687">
        <v>500000000</v>
      </c>
      <c r="U74" s="687">
        <v>500000000</v>
      </c>
      <c r="V74" s="687"/>
      <c r="W74" s="687"/>
      <c r="X74" s="687"/>
      <c r="Y74" s="687"/>
      <c r="Z74" s="687"/>
      <c r="AA74" s="687"/>
      <c r="AB74" s="687"/>
      <c r="AC74" s="687"/>
      <c r="AD74" s="687"/>
      <c r="AE74" s="687"/>
      <c r="AF74" s="687"/>
      <c r="AG74" s="687"/>
      <c r="AH74" s="687"/>
      <c r="AI74" s="687"/>
      <c r="AJ74" s="687"/>
      <c r="AK74" s="687"/>
      <c r="AL74" s="687"/>
      <c r="AM74" s="687"/>
      <c r="AN74" s="687"/>
      <c r="AO74" s="687"/>
      <c r="AP74" s="687"/>
      <c r="AQ74" s="687"/>
      <c r="AR74" s="687"/>
      <c r="AS74" s="687"/>
      <c r="AT74" s="687"/>
      <c r="AU74" s="687"/>
      <c r="AV74" s="687"/>
      <c r="AW74" s="687"/>
      <c r="AX74" s="687"/>
      <c r="AY74" s="687"/>
      <c r="AZ74" s="687"/>
      <c r="BA74" s="687"/>
      <c r="BB74" s="687"/>
      <c r="BC74" s="687"/>
      <c r="BD74" s="687"/>
      <c r="BE74" s="687"/>
      <c r="BF74" s="687"/>
      <c r="BG74" s="687"/>
      <c r="BH74" s="687"/>
      <c r="BI74" s="687"/>
      <c r="BJ74" s="687"/>
      <c r="BK74" s="687"/>
      <c r="BL74" s="687"/>
      <c r="BM74" s="687"/>
      <c r="BN74" s="687"/>
      <c r="BO74" s="687"/>
      <c r="BP74" s="687"/>
      <c r="BQ74" s="687"/>
      <c r="BR74" s="687"/>
      <c r="BS74" s="687"/>
      <c r="BT74" s="687"/>
      <c r="BU74" s="687"/>
      <c r="BV74" s="687">
        <v>351000000</v>
      </c>
      <c r="BW74" s="687">
        <v>109228154</v>
      </c>
      <c r="BX74" s="687">
        <v>109228154</v>
      </c>
      <c r="BY74" s="687">
        <v>109228154</v>
      </c>
      <c r="BZ74" s="687"/>
      <c r="CA74" s="687"/>
      <c r="CB74" s="687"/>
      <c r="CC74" s="687"/>
      <c r="CD74" s="687">
        <f t="shared" si="197"/>
        <v>851000000</v>
      </c>
      <c r="CE74" s="687">
        <f>+CE71</f>
        <v>609228154</v>
      </c>
      <c r="CF74" s="687">
        <v>609228153.79999995</v>
      </c>
      <c r="CG74" s="687">
        <f t="shared" ref="CG74" si="204">+CG71</f>
        <v>609228153.79999995</v>
      </c>
      <c r="CH74" s="439"/>
      <c r="CI74" s="758">
        <f t="shared" si="196"/>
        <v>0</v>
      </c>
    </row>
    <row r="75" spans="1:87" ht="27" thickTop="1" thickBot="1" x14ac:dyDescent="0.3">
      <c r="A75" s="713"/>
      <c r="B75" s="713"/>
      <c r="C75" s="714"/>
      <c r="D75" s="714"/>
      <c r="E75" s="714"/>
      <c r="F75" s="714"/>
      <c r="G75" s="713"/>
      <c r="H75" s="715" t="s">
        <v>2169</v>
      </c>
      <c r="I75" s="1049">
        <f t="shared" ref="I75:BS75" si="205">+I76+I89</f>
        <v>16022075000</v>
      </c>
      <c r="J75" s="1049">
        <f t="shared" si="205"/>
        <v>7059200000</v>
      </c>
      <c r="K75" s="1049">
        <f t="shared" si="205"/>
        <v>6813896404.6000004</v>
      </c>
      <c r="L75" s="1049">
        <f t="shared" si="205"/>
        <v>2002827696.6999998</v>
      </c>
      <c r="M75" s="1049">
        <f t="shared" si="205"/>
        <v>1972656196.6999998</v>
      </c>
      <c r="N75" s="1049">
        <f t="shared" si="205"/>
        <v>0</v>
      </c>
      <c r="O75" s="1049">
        <f t="shared" si="205"/>
        <v>0</v>
      </c>
      <c r="P75" s="1049">
        <f t="shared" si="205"/>
        <v>0</v>
      </c>
      <c r="Q75" s="1049">
        <f t="shared" si="205"/>
        <v>0</v>
      </c>
      <c r="R75" s="1049">
        <f t="shared" si="205"/>
        <v>0</v>
      </c>
      <c r="S75" s="1049">
        <f t="shared" si="205"/>
        <v>0</v>
      </c>
      <c r="T75" s="1049">
        <f t="shared" si="205"/>
        <v>0</v>
      </c>
      <c r="U75" s="1049">
        <f t="shared" si="205"/>
        <v>0</v>
      </c>
      <c r="V75" s="1049">
        <f t="shared" si="205"/>
        <v>0</v>
      </c>
      <c r="W75" s="1049">
        <f t="shared" si="205"/>
        <v>0</v>
      </c>
      <c r="X75" s="1049">
        <f t="shared" si="205"/>
        <v>0</v>
      </c>
      <c r="Y75" s="1049">
        <f t="shared" si="205"/>
        <v>0</v>
      </c>
      <c r="Z75" s="1049">
        <f t="shared" si="205"/>
        <v>0</v>
      </c>
      <c r="AA75" s="1049">
        <f t="shared" si="205"/>
        <v>0</v>
      </c>
      <c r="AB75" s="1049">
        <f t="shared" si="205"/>
        <v>0</v>
      </c>
      <c r="AC75" s="1049">
        <f t="shared" si="205"/>
        <v>0</v>
      </c>
      <c r="AD75" s="1049">
        <f t="shared" si="205"/>
        <v>100000000</v>
      </c>
      <c r="AE75" s="1049">
        <f t="shared" si="205"/>
        <v>100000000</v>
      </c>
      <c r="AF75" s="1049">
        <f t="shared" si="205"/>
        <v>0</v>
      </c>
      <c r="AG75" s="1049">
        <f t="shared" si="205"/>
        <v>0</v>
      </c>
      <c r="AH75" s="1049">
        <f t="shared" si="205"/>
        <v>0</v>
      </c>
      <c r="AI75" s="1049">
        <f t="shared" si="205"/>
        <v>0</v>
      </c>
      <c r="AJ75" s="1049">
        <f t="shared" si="205"/>
        <v>0</v>
      </c>
      <c r="AK75" s="1049">
        <f t="shared" si="205"/>
        <v>0</v>
      </c>
      <c r="AL75" s="1049">
        <f t="shared" si="205"/>
        <v>0</v>
      </c>
      <c r="AM75" s="1049">
        <f t="shared" si="205"/>
        <v>0</v>
      </c>
      <c r="AN75" s="1049">
        <f t="shared" si="205"/>
        <v>0</v>
      </c>
      <c r="AO75" s="1049">
        <f t="shared" si="205"/>
        <v>0</v>
      </c>
      <c r="AP75" s="1049">
        <f t="shared" si="205"/>
        <v>0</v>
      </c>
      <c r="AQ75" s="1049">
        <f t="shared" si="205"/>
        <v>0</v>
      </c>
      <c r="AR75" s="1049">
        <f t="shared" si="205"/>
        <v>0</v>
      </c>
      <c r="AS75" s="1049">
        <f t="shared" si="205"/>
        <v>0</v>
      </c>
      <c r="AT75" s="1049">
        <f t="shared" si="205"/>
        <v>0</v>
      </c>
      <c r="AU75" s="1049">
        <f t="shared" si="205"/>
        <v>0</v>
      </c>
      <c r="AV75" s="1049">
        <f t="shared" si="205"/>
        <v>0</v>
      </c>
      <c r="AW75" s="1049">
        <f t="shared" si="205"/>
        <v>0</v>
      </c>
      <c r="AX75" s="1049">
        <f t="shared" si="205"/>
        <v>0</v>
      </c>
      <c r="AY75" s="1049">
        <f t="shared" si="205"/>
        <v>0</v>
      </c>
      <c r="AZ75" s="1049">
        <f t="shared" si="205"/>
        <v>0</v>
      </c>
      <c r="BA75" s="1049">
        <f t="shared" si="205"/>
        <v>0</v>
      </c>
      <c r="BB75" s="1049">
        <f t="shared" si="205"/>
        <v>0</v>
      </c>
      <c r="BC75" s="1049">
        <f t="shared" si="205"/>
        <v>0</v>
      </c>
      <c r="BD75" s="1049">
        <f t="shared" si="205"/>
        <v>0</v>
      </c>
      <c r="BE75" s="1049">
        <f t="shared" si="205"/>
        <v>0</v>
      </c>
      <c r="BF75" s="1049">
        <f t="shared" si="205"/>
        <v>0</v>
      </c>
      <c r="BG75" s="1049">
        <f t="shared" si="205"/>
        <v>0</v>
      </c>
      <c r="BH75" s="1049">
        <f t="shared" si="205"/>
        <v>0</v>
      </c>
      <c r="BI75" s="1049">
        <f t="shared" si="205"/>
        <v>0</v>
      </c>
      <c r="BJ75" s="1049">
        <f t="shared" si="205"/>
        <v>0</v>
      </c>
      <c r="BK75" s="1049">
        <f t="shared" si="205"/>
        <v>0</v>
      </c>
      <c r="BL75" s="1049">
        <f t="shared" si="205"/>
        <v>0</v>
      </c>
      <c r="BM75" s="1049">
        <f t="shared" si="205"/>
        <v>0</v>
      </c>
      <c r="BN75" s="1049">
        <f t="shared" si="205"/>
        <v>7000000000</v>
      </c>
      <c r="BO75" s="1049">
        <f t="shared" si="205"/>
        <v>7000000000</v>
      </c>
      <c r="BP75" s="1049">
        <f t="shared" si="205"/>
        <v>7000000000</v>
      </c>
      <c r="BQ75" s="1049">
        <f t="shared" si="205"/>
        <v>7000000000</v>
      </c>
      <c r="BR75" s="1049">
        <f t="shared" si="205"/>
        <v>1012875000</v>
      </c>
      <c r="BS75" s="1049">
        <f t="shared" si="205"/>
        <v>1012875000</v>
      </c>
      <c r="BT75" s="1049">
        <f t="shared" ref="BT75:CC75" si="206">+BT76+BT89</f>
        <v>1011352262.04</v>
      </c>
      <c r="BU75" s="1049">
        <f t="shared" si="206"/>
        <v>998477262.03999996</v>
      </c>
      <c r="BV75" s="1049">
        <f t="shared" si="206"/>
        <v>850000000</v>
      </c>
      <c r="BW75" s="1049">
        <f t="shared" si="206"/>
        <v>849992000</v>
      </c>
      <c r="BX75" s="1049">
        <f t="shared" si="206"/>
        <v>549992000</v>
      </c>
      <c r="BY75" s="1049">
        <f t="shared" si="206"/>
        <v>549992000</v>
      </c>
      <c r="BZ75" s="1049">
        <f t="shared" si="206"/>
        <v>0</v>
      </c>
      <c r="CA75" s="1049">
        <f t="shared" si="206"/>
        <v>0</v>
      </c>
      <c r="CB75" s="1049">
        <f t="shared" si="206"/>
        <v>0</v>
      </c>
      <c r="CC75" s="1049">
        <f t="shared" si="206"/>
        <v>0</v>
      </c>
      <c r="CD75" s="756">
        <f t="shared" si="197"/>
        <v>16022075000</v>
      </c>
      <c r="CE75" s="1050">
        <f>+CE76+CE89</f>
        <v>15776763404.6</v>
      </c>
      <c r="CF75" s="756">
        <f>+CF76+CF89</f>
        <v>10564171959</v>
      </c>
      <c r="CG75" s="756">
        <f>+CG76+CG89</f>
        <v>10521125459</v>
      </c>
      <c r="CH75" s="707"/>
      <c r="CI75" s="758">
        <f t="shared" si="196"/>
        <v>0</v>
      </c>
    </row>
    <row r="76" spans="1:87" ht="27" thickTop="1" thickBot="1" x14ac:dyDescent="0.3">
      <c r="A76" s="717"/>
      <c r="B76" s="717"/>
      <c r="C76" s="716"/>
      <c r="D76" s="716"/>
      <c r="E76" s="716"/>
      <c r="F76" s="716"/>
      <c r="G76" s="717"/>
      <c r="H76" s="708" t="s">
        <v>2236</v>
      </c>
      <c r="I76" s="1047">
        <f t="shared" ref="I76:BS76" si="207">+I77</f>
        <v>15522075000</v>
      </c>
      <c r="J76" s="1047">
        <f t="shared" si="207"/>
        <v>6659200000</v>
      </c>
      <c r="K76" s="1047">
        <f t="shared" si="207"/>
        <v>6413896404.6000004</v>
      </c>
      <c r="L76" s="1047">
        <f t="shared" si="207"/>
        <v>1602827696.6999998</v>
      </c>
      <c r="M76" s="1047">
        <f t="shared" si="207"/>
        <v>1572656196.6999998</v>
      </c>
      <c r="N76" s="1047">
        <f t="shared" si="207"/>
        <v>0</v>
      </c>
      <c r="O76" s="1047">
        <f t="shared" si="207"/>
        <v>0</v>
      </c>
      <c r="P76" s="1047">
        <f t="shared" si="207"/>
        <v>0</v>
      </c>
      <c r="Q76" s="1047">
        <f t="shared" si="207"/>
        <v>0</v>
      </c>
      <c r="R76" s="1047">
        <f t="shared" si="207"/>
        <v>0</v>
      </c>
      <c r="S76" s="1047">
        <f t="shared" si="207"/>
        <v>0</v>
      </c>
      <c r="T76" s="1047">
        <f t="shared" si="207"/>
        <v>0</v>
      </c>
      <c r="U76" s="1047">
        <f t="shared" si="207"/>
        <v>0</v>
      </c>
      <c r="V76" s="1047">
        <f t="shared" si="207"/>
        <v>0</v>
      </c>
      <c r="W76" s="1047">
        <f t="shared" si="207"/>
        <v>0</v>
      </c>
      <c r="X76" s="1047">
        <f t="shared" si="207"/>
        <v>0</v>
      </c>
      <c r="Y76" s="1047">
        <f t="shared" si="207"/>
        <v>0</v>
      </c>
      <c r="Z76" s="1047">
        <f t="shared" si="207"/>
        <v>0</v>
      </c>
      <c r="AA76" s="1047">
        <f t="shared" si="207"/>
        <v>0</v>
      </c>
      <c r="AB76" s="1047">
        <f t="shared" si="207"/>
        <v>0</v>
      </c>
      <c r="AC76" s="1047">
        <f t="shared" si="207"/>
        <v>0</v>
      </c>
      <c r="AD76" s="1047">
        <f t="shared" si="207"/>
        <v>100000000</v>
      </c>
      <c r="AE76" s="1047">
        <f t="shared" si="207"/>
        <v>100000000</v>
      </c>
      <c r="AF76" s="1047">
        <f t="shared" si="207"/>
        <v>0</v>
      </c>
      <c r="AG76" s="1047">
        <f t="shared" si="207"/>
        <v>0</v>
      </c>
      <c r="AH76" s="1047">
        <f t="shared" si="207"/>
        <v>0</v>
      </c>
      <c r="AI76" s="1047">
        <f t="shared" si="207"/>
        <v>0</v>
      </c>
      <c r="AJ76" s="1047">
        <f t="shared" si="207"/>
        <v>0</v>
      </c>
      <c r="AK76" s="1047">
        <f t="shared" si="207"/>
        <v>0</v>
      </c>
      <c r="AL76" s="1047">
        <f t="shared" si="207"/>
        <v>0</v>
      </c>
      <c r="AM76" s="1047">
        <f t="shared" si="207"/>
        <v>0</v>
      </c>
      <c r="AN76" s="1047">
        <f t="shared" si="207"/>
        <v>0</v>
      </c>
      <c r="AO76" s="1047">
        <f t="shared" si="207"/>
        <v>0</v>
      </c>
      <c r="AP76" s="1047">
        <f t="shared" si="207"/>
        <v>0</v>
      </c>
      <c r="AQ76" s="1047">
        <f t="shared" si="207"/>
        <v>0</v>
      </c>
      <c r="AR76" s="1047">
        <f t="shared" si="207"/>
        <v>0</v>
      </c>
      <c r="AS76" s="1047">
        <f t="shared" si="207"/>
        <v>0</v>
      </c>
      <c r="AT76" s="1047">
        <f t="shared" si="207"/>
        <v>0</v>
      </c>
      <c r="AU76" s="1047">
        <f t="shared" si="207"/>
        <v>0</v>
      </c>
      <c r="AV76" s="1047">
        <f t="shared" si="207"/>
        <v>0</v>
      </c>
      <c r="AW76" s="1047">
        <f t="shared" si="207"/>
        <v>0</v>
      </c>
      <c r="AX76" s="1047">
        <f t="shared" si="207"/>
        <v>0</v>
      </c>
      <c r="AY76" s="1047">
        <f t="shared" si="207"/>
        <v>0</v>
      </c>
      <c r="AZ76" s="1047">
        <f t="shared" si="207"/>
        <v>0</v>
      </c>
      <c r="BA76" s="1047">
        <f t="shared" si="207"/>
        <v>0</v>
      </c>
      <c r="BB76" s="1047">
        <f t="shared" si="207"/>
        <v>0</v>
      </c>
      <c r="BC76" s="1047">
        <f t="shared" si="207"/>
        <v>0</v>
      </c>
      <c r="BD76" s="1047">
        <f t="shared" si="207"/>
        <v>0</v>
      </c>
      <c r="BE76" s="1047">
        <f t="shared" si="207"/>
        <v>0</v>
      </c>
      <c r="BF76" s="1047">
        <f t="shared" si="207"/>
        <v>0</v>
      </c>
      <c r="BG76" s="1047">
        <f t="shared" si="207"/>
        <v>0</v>
      </c>
      <c r="BH76" s="1047">
        <f t="shared" si="207"/>
        <v>0</v>
      </c>
      <c r="BI76" s="1047">
        <f t="shared" si="207"/>
        <v>0</v>
      </c>
      <c r="BJ76" s="1047">
        <f t="shared" si="207"/>
        <v>0</v>
      </c>
      <c r="BK76" s="1047">
        <f t="shared" si="207"/>
        <v>0</v>
      </c>
      <c r="BL76" s="1047">
        <f t="shared" si="207"/>
        <v>0</v>
      </c>
      <c r="BM76" s="1047">
        <f t="shared" si="207"/>
        <v>0</v>
      </c>
      <c r="BN76" s="1047">
        <f t="shared" si="207"/>
        <v>7000000000</v>
      </c>
      <c r="BO76" s="1047">
        <f t="shared" si="207"/>
        <v>7000000000</v>
      </c>
      <c r="BP76" s="1047">
        <f t="shared" si="207"/>
        <v>7000000000</v>
      </c>
      <c r="BQ76" s="1047">
        <f t="shared" si="207"/>
        <v>7000000000</v>
      </c>
      <c r="BR76" s="1047">
        <f t="shared" si="207"/>
        <v>1012875000</v>
      </c>
      <c r="BS76" s="1047">
        <f t="shared" si="207"/>
        <v>1012875000</v>
      </c>
      <c r="BT76" s="1047">
        <f t="shared" ref="BT76:CC76" si="208">+BT77</f>
        <v>1011352262.04</v>
      </c>
      <c r="BU76" s="1047">
        <f t="shared" si="208"/>
        <v>998477262.03999996</v>
      </c>
      <c r="BV76" s="1047">
        <f t="shared" si="208"/>
        <v>750000000</v>
      </c>
      <c r="BW76" s="1047">
        <f t="shared" si="208"/>
        <v>750000000</v>
      </c>
      <c r="BX76" s="1047">
        <f t="shared" si="208"/>
        <v>450000000</v>
      </c>
      <c r="BY76" s="1047">
        <f t="shared" si="208"/>
        <v>450000000</v>
      </c>
      <c r="BZ76" s="1047">
        <f t="shared" si="208"/>
        <v>0</v>
      </c>
      <c r="CA76" s="1047">
        <f t="shared" si="208"/>
        <v>0</v>
      </c>
      <c r="CB76" s="1047">
        <f t="shared" si="208"/>
        <v>0</v>
      </c>
      <c r="CC76" s="1047">
        <f t="shared" si="208"/>
        <v>0</v>
      </c>
      <c r="CD76" s="752">
        <f t="shared" si="197"/>
        <v>15522075000</v>
      </c>
      <c r="CE76" s="752">
        <f>+CE77</f>
        <v>15276771404.6</v>
      </c>
      <c r="CF76" s="752">
        <f>+CF77</f>
        <v>10064179959</v>
      </c>
      <c r="CG76" s="752">
        <f>+CG77</f>
        <v>10021133459</v>
      </c>
      <c r="CH76" s="709"/>
      <c r="CI76" s="758">
        <f t="shared" si="196"/>
        <v>0</v>
      </c>
    </row>
    <row r="77" spans="1:87" ht="16.5" thickTop="1" thickBot="1" x14ac:dyDescent="0.3">
      <c r="A77" s="710"/>
      <c r="B77" s="710"/>
      <c r="C77" s="711"/>
      <c r="D77" s="711"/>
      <c r="E77" s="712"/>
      <c r="F77" s="712"/>
      <c r="G77" s="710"/>
      <c r="H77" s="689" t="s">
        <v>2170</v>
      </c>
      <c r="I77" s="1048">
        <f t="shared" ref="I77:BS77" si="209">+SUM(I78:I88)</f>
        <v>15522075000</v>
      </c>
      <c r="J77" s="1048">
        <f t="shared" si="209"/>
        <v>6659200000</v>
      </c>
      <c r="K77" s="1048">
        <f t="shared" si="209"/>
        <v>6413896404.6000004</v>
      </c>
      <c r="L77" s="1048">
        <f t="shared" si="209"/>
        <v>1602827696.6999998</v>
      </c>
      <c r="M77" s="1048">
        <f t="shared" si="209"/>
        <v>1572656196.6999998</v>
      </c>
      <c r="N77" s="1048">
        <f t="shared" si="209"/>
        <v>0</v>
      </c>
      <c r="O77" s="1048">
        <f t="shared" si="209"/>
        <v>0</v>
      </c>
      <c r="P77" s="1048">
        <f t="shared" si="209"/>
        <v>0</v>
      </c>
      <c r="Q77" s="1048">
        <f t="shared" si="209"/>
        <v>0</v>
      </c>
      <c r="R77" s="1048">
        <f t="shared" si="209"/>
        <v>0</v>
      </c>
      <c r="S77" s="1048">
        <f t="shared" si="209"/>
        <v>0</v>
      </c>
      <c r="T77" s="1048">
        <f t="shared" si="209"/>
        <v>0</v>
      </c>
      <c r="U77" s="1048">
        <f t="shared" si="209"/>
        <v>0</v>
      </c>
      <c r="V77" s="1048">
        <f t="shared" si="209"/>
        <v>0</v>
      </c>
      <c r="W77" s="1048">
        <f t="shared" si="209"/>
        <v>0</v>
      </c>
      <c r="X77" s="1048">
        <f t="shared" si="209"/>
        <v>0</v>
      </c>
      <c r="Y77" s="1048">
        <f t="shared" si="209"/>
        <v>0</v>
      </c>
      <c r="Z77" s="1048">
        <f t="shared" si="209"/>
        <v>0</v>
      </c>
      <c r="AA77" s="1048">
        <f t="shared" si="209"/>
        <v>0</v>
      </c>
      <c r="AB77" s="1048">
        <f t="shared" si="209"/>
        <v>0</v>
      </c>
      <c r="AC77" s="1048">
        <f t="shared" si="209"/>
        <v>0</v>
      </c>
      <c r="AD77" s="1048">
        <f t="shared" si="209"/>
        <v>100000000</v>
      </c>
      <c r="AE77" s="1048">
        <f t="shared" si="209"/>
        <v>100000000</v>
      </c>
      <c r="AF77" s="1048">
        <f t="shared" si="209"/>
        <v>0</v>
      </c>
      <c r="AG77" s="1048">
        <f t="shared" si="209"/>
        <v>0</v>
      </c>
      <c r="AH77" s="1048">
        <f t="shared" si="209"/>
        <v>0</v>
      </c>
      <c r="AI77" s="1048">
        <f t="shared" si="209"/>
        <v>0</v>
      </c>
      <c r="AJ77" s="1048">
        <f t="shared" si="209"/>
        <v>0</v>
      </c>
      <c r="AK77" s="1048">
        <f t="shared" si="209"/>
        <v>0</v>
      </c>
      <c r="AL77" s="1048">
        <f t="shared" si="209"/>
        <v>0</v>
      </c>
      <c r="AM77" s="1048">
        <f t="shared" si="209"/>
        <v>0</v>
      </c>
      <c r="AN77" s="1048">
        <f t="shared" si="209"/>
        <v>0</v>
      </c>
      <c r="AO77" s="1048">
        <f t="shared" si="209"/>
        <v>0</v>
      </c>
      <c r="AP77" s="1048">
        <f t="shared" si="209"/>
        <v>0</v>
      </c>
      <c r="AQ77" s="1048">
        <f t="shared" si="209"/>
        <v>0</v>
      </c>
      <c r="AR77" s="1048">
        <f t="shared" si="209"/>
        <v>0</v>
      </c>
      <c r="AS77" s="1048">
        <f t="shared" si="209"/>
        <v>0</v>
      </c>
      <c r="AT77" s="1048">
        <f t="shared" si="209"/>
        <v>0</v>
      </c>
      <c r="AU77" s="1048">
        <f t="shared" si="209"/>
        <v>0</v>
      </c>
      <c r="AV77" s="1048">
        <f t="shared" si="209"/>
        <v>0</v>
      </c>
      <c r="AW77" s="1048">
        <f t="shared" si="209"/>
        <v>0</v>
      </c>
      <c r="AX77" s="1048">
        <f t="shared" si="209"/>
        <v>0</v>
      </c>
      <c r="AY77" s="1048">
        <f t="shared" si="209"/>
        <v>0</v>
      </c>
      <c r="AZ77" s="1048">
        <f t="shared" si="209"/>
        <v>0</v>
      </c>
      <c r="BA77" s="1048">
        <f t="shared" si="209"/>
        <v>0</v>
      </c>
      <c r="BB77" s="1048">
        <f t="shared" si="209"/>
        <v>0</v>
      </c>
      <c r="BC77" s="1048">
        <f t="shared" si="209"/>
        <v>0</v>
      </c>
      <c r="BD77" s="1048">
        <f t="shared" si="209"/>
        <v>0</v>
      </c>
      <c r="BE77" s="1048">
        <f t="shared" si="209"/>
        <v>0</v>
      </c>
      <c r="BF77" s="1048">
        <f t="shared" si="209"/>
        <v>0</v>
      </c>
      <c r="BG77" s="1048">
        <f t="shared" si="209"/>
        <v>0</v>
      </c>
      <c r="BH77" s="1048">
        <f t="shared" si="209"/>
        <v>0</v>
      </c>
      <c r="BI77" s="1048">
        <f t="shared" si="209"/>
        <v>0</v>
      </c>
      <c r="BJ77" s="1048">
        <f t="shared" si="209"/>
        <v>0</v>
      </c>
      <c r="BK77" s="1048">
        <f t="shared" si="209"/>
        <v>0</v>
      </c>
      <c r="BL77" s="1048">
        <f t="shared" si="209"/>
        <v>0</v>
      </c>
      <c r="BM77" s="1048">
        <f t="shared" si="209"/>
        <v>0</v>
      </c>
      <c r="BN77" s="1048">
        <f t="shared" si="209"/>
        <v>7000000000</v>
      </c>
      <c r="BO77" s="1048">
        <f t="shared" si="209"/>
        <v>7000000000</v>
      </c>
      <c r="BP77" s="1048">
        <f t="shared" si="209"/>
        <v>7000000000</v>
      </c>
      <c r="BQ77" s="1048">
        <f t="shared" si="209"/>
        <v>7000000000</v>
      </c>
      <c r="BR77" s="1048">
        <f t="shared" si="209"/>
        <v>1012875000</v>
      </c>
      <c r="BS77" s="1048">
        <f t="shared" si="209"/>
        <v>1012875000</v>
      </c>
      <c r="BT77" s="1048">
        <f t="shared" ref="BT77:CC77" si="210">+SUM(BT78:BT88)</f>
        <v>1011352262.04</v>
      </c>
      <c r="BU77" s="1048">
        <f t="shared" si="210"/>
        <v>998477262.03999996</v>
      </c>
      <c r="BV77" s="1048">
        <f t="shared" si="210"/>
        <v>750000000</v>
      </c>
      <c r="BW77" s="1048">
        <f t="shared" si="210"/>
        <v>750000000</v>
      </c>
      <c r="BX77" s="1048">
        <f t="shared" si="210"/>
        <v>450000000</v>
      </c>
      <c r="BY77" s="1048">
        <f t="shared" si="210"/>
        <v>450000000</v>
      </c>
      <c r="BZ77" s="1048">
        <f t="shared" si="210"/>
        <v>0</v>
      </c>
      <c r="CA77" s="1048">
        <f t="shared" si="210"/>
        <v>0</v>
      </c>
      <c r="CB77" s="1048">
        <f t="shared" si="210"/>
        <v>0</v>
      </c>
      <c r="CC77" s="1048">
        <f t="shared" si="210"/>
        <v>0</v>
      </c>
      <c r="CD77" s="690">
        <f t="shared" si="197"/>
        <v>15522075000</v>
      </c>
      <c r="CE77" s="690">
        <f t="shared" ref="CE77:CE89" si="211">+K77+O77+S77+W77+AA77+AE77+AI77+AM77+AQ77+AU77+AY77+BC77+BG77+BK77+BO77+BS77+BW77+CA77</f>
        <v>15276771404.6</v>
      </c>
      <c r="CF77" s="690">
        <f>+'Anexo 5.2. infor Gastos mesa 55'!AA78</f>
        <v>10064179959</v>
      </c>
      <c r="CG77" s="690">
        <f>+'Anexo 5.2. infor Gastos mesa 55'!AB78</f>
        <v>10021133459</v>
      </c>
      <c r="CH77" s="700"/>
      <c r="CI77" s="758">
        <f t="shared" si="196"/>
        <v>0</v>
      </c>
    </row>
    <row r="78" spans="1:87" ht="39.75" thickTop="1" thickBot="1" x14ac:dyDescent="0.3">
      <c r="A78" s="444"/>
      <c r="B78" s="444"/>
      <c r="C78" s="446"/>
      <c r="D78" s="446"/>
      <c r="E78" s="445"/>
      <c r="F78" s="445"/>
      <c r="G78" s="444"/>
      <c r="H78" s="686" t="s">
        <v>2380</v>
      </c>
      <c r="I78" s="1046">
        <v>10508400000</v>
      </c>
      <c r="J78" s="687">
        <v>3058400000</v>
      </c>
      <c r="K78" s="687">
        <v>3058400000</v>
      </c>
      <c r="L78" s="687">
        <v>732003583.0999999</v>
      </c>
      <c r="M78" s="687">
        <v>732003583.0999999</v>
      </c>
      <c r="N78" s="687"/>
      <c r="O78" s="687"/>
      <c r="P78" s="687"/>
      <c r="Q78" s="687"/>
      <c r="R78" s="687"/>
      <c r="S78" s="687"/>
      <c r="T78" s="687"/>
      <c r="U78" s="687"/>
      <c r="V78" s="687"/>
      <c r="W78" s="687"/>
      <c r="X78" s="687"/>
      <c r="Y78" s="687"/>
      <c r="Z78" s="687"/>
      <c r="AA78" s="687"/>
      <c r="AB78" s="687"/>
      <c r="AC78" s="687"/>
      <c r="AD78" s="687"/>
      <c r="AE78" s="687"/>
      <c r="AF78" s="687"/>
      <c r="AG78" s="687"/>
      <c r="AH78" s="687"/>
      <c r="AI78" s="687"/>
      <c r="AJ78" s="687"/>
      <c r="AK78" s="687"/>
      <c r="AL78" s="687"/>
      <c r="AM78" s="687"/>
      <c r="AN78" s="687"/>
      <c r="AO78" s="687"/>
      <c r="AP78" s="687"/>
      <c r="AQ78" s="687"/>
      <c r="AR78" s="687"/>
      <c r="AS78" s="687"/>
      <c r="AT78" s="687"/>
      <c r="AU78" s="687"/>
      <c r="AV78" s="687"/>
      <c r="AW78" s="687"/>
      <c r="AX78" s="687"/>
      <c r="AY78" s="687"/>
      <c r="AZ78" s="687"/>
      <c r="BA78" s="687"/>
      <c r="BB78" s="687"/>
      <c r="BC78" s="687"/>
      <c r="BD78" s="687"/>
      <c r="BE78" s="687"/>
      <c r="BF78" s="687"/>
      <c r="BG78" s="687"/>
      <c r="BH78" s="687"/>
      <c r="BI78" s="687"/>
      <c r="BJ78" s="687"/>
      <c r="BK78" s="687"/>
      <c r="BL78" s="687"/>
      <c r="BM78" s="687"/>
      <c r="BN78" s="687">
        <v>7000000000</v>
      </c>
      <c r="BO78" s="687">
        <v>7000000000</v>
      </c>
      <c r="BP78" s="687">
        <v>7000000000</v>
      </c>
      <c r="BQ78" s="687">
        <v>7000000000</v>
      </c>
      <c r="BR78" s="687"/>
      <c r="BS78" s="687"/>
      <c r="BT78" s="687"/>
      <c r="BU78" s="687"/>
      <c r="BV78" s="687">
        <v>450000000</v>
      </c>
      <c r="BW78" s="687">
        <v>450000000</v>
      </c>
      <c r="BX78" s="687">
        <v>450000000</v>
      </c>
      <c r="BY78" s="687">
        <v>450000000</v>
      </c>
      <c r="BZ78" s="687"/>
      <c r="CA78" s="687"/>
      <c r="CB78" s="687"/>
      <c r="CC78" s="687"/>
      <c r="CD78" s="687">
        <f t="shared" si="197"/>
        <v>10508400000</v>
      </c>
      <c r="CE78" s="687">
        <f t="shared" si="211"/>
        <v>10508400000</v>
      </c>
      <c r="CF78" s="687">
        <v>8182003583.1000004</v>
      </c>
      <c r="CG78" s="687">
        <f>+CF78</f>
        <v>8182003583.1000004</v>
      </c>
      <c r="CH78" s="1189"/>
      <c r="CI78" s="758">
        <f t="shared" si="196"/>
        <v>0</v>
      </c>
    </row>
    <row r="79" spans="1:87" ht="39.75" thickTop="1" thickBot="1" x14ac:dyDescent="0.3">
      <c r="A79" s="444"/>
      <c r="B79" s="444"/>
      <c r="C79" s="446"/>
      <c r="D79" s="446"/>
      <c r="E79" s="445"/>
      <c r="F79" s="445"/>
      <c r="G79" s="444"/>
      <c r="H79" s="686" t="s">
        <v>2382</v>
      </c>
      <c r="I79" s="1046">
        <v>2401603346.4000001</v>
      </c>
      <c r="J79" s="687">
        <v>2401603346.4000001</v>
      </c>
      <c r="K79" s="687">
        <v>2156299751</v>
      </c>
      <c r="L79" s="687">
        <v>0</v>
      </c>
      <c r="M79" s="687">
        <v>0</v>
      </c>
      <c r="N79" s="687"/>
      <c r="O79" s="687"/>
      <c r="P79" s="687"/>
      <c r="Q79" s="687"/>
      <c r="R79" s="687"/>
      <c r="S79" s="687"/>
      <c r="T79" s="687"/>
      <c r="U79" s="687"/>
      <c r="V79" s="687"/>
      <c r="W79" s="687"/>
      <c r="X79" s="687"/>
      <c r="Y79" s="687"/>
      <c r="Z79" s="687"/>
      <c r="AA79" s="687"/>
      <c r="AB79" s="687"/>
      <c r="AC79" s="687"/>
      <c r="AD79" s="687"/>
      <c r="AE79" s="687"/>
      <c r="AF79" s="687"/>
      <c r="AG79" s="687"/>
      <c r="AH79" s="687"/>
      <c r="AI79" s="687"/>
      <c r="AJ79" s="687"/>
      <c r="AK79" s="687"/>
      <c r="AL79" s="687"/>
      <c r="AM79" s="687"/>
      <c r="AN79" s="687"/>
      <c r="AO79" s="687"/>
      <c r="AP79" s="687"/>
      <c r="AQ79" s="687"/>
      <c r="AR79" s="687"/>
      <c r="AS79" s="687"/>
      <c r="AT79" s="687"/>
      <c r="AU79" s="687"/>
      <c r="AV79" s="687"/>
      <c r="AW79" s="687"/>
      <c r="AX79" s="687"/>
      <c r="AY79" s="687"/>
      <c r="AZ79" s="687"/>
      <c r="BA79" s="687"/>
      <c r="BB79" s="687"/>
      <c r="BC79" s="687"/>
      <c r="BD79" s="687"/>
      <c r="BE79" s="687"/>
      <c r="BF79" s="687"/>
      <c r="BG79" s="687"/>
      <c r="BH79" s="687"/>
      <c r="BI79" s="687"/>
      <c r="BJ79" s="687"/>
      <c r="BK79" s="687"/>
      <c r="BL79" s="687"/>
      <c r="BM79" s="687"/>
      <c r="BN79" s="687"/>
      <c r="BO79" s="687"/>
      <c r="BP79" s="687"/>
      <c r="BQ79" s="687"/>
      <c r="BR79" s="687"/>
      <c r="BS79" s="687"/>
      <c r="BT79" s="687"/>
      <c r="BU79" s="687"/>
      <c r="BV79" s="687">
        <v>0</v>
      </c>
      <c r="BW79" s="687">
        <v>0</v>
      </c>
      <c r="BX79" s="687">
        <v>0</v>
      </c>
      <c r="BY79" s="687">
        <v>0</v>
      </c>
      <c r="BZ79" s="687"/>
      <c r="CA79" s="687"/>
      <c r="CB79" s="687"/>
      <c r="CC79" s="687"/>
      <c r="CD79" s="687">
        <f t="shared" si="197"/>
        <v>2401603346.4000001</v>
      </c>
      <c r="CE79" s="687">
        <f t="shared" si="211"/>
        <v>2156299751</v>
      </c>
      <c r="CF79" s="687"/>
      <c r="CG79" s="687"/>
      <c r="CH79" s="439"/>
      <c r="CI79" s="758">
        <f t="shared" si="196"/>
        <v>0</v>
      </c>
    </row>
    <row r="80" spans="1:87" ht="39.75" thickTop="1" thickBot="1" x14ac:dyDescent="0.3">
      <c r="A80" s="444"/>
      <c r="B80" s="444"/>
      <c r="C80" s="446"/>
      <c r="D80" s="446"/>
      <c r="E80" s="445"/>
      <c r="F80" s="445"/>
      <c r="G80" s="444"/>
      <c r="H80" s="686" t="s">
        <v>2383</v>
      </c>
      <c r="I80" s="1046">
        <v>0</v>
      </c>
      <c r="J80" s="687">
        <v>0</v>
      </c>
      <c r="K80" s="687">
        <v>0</v>
      </c>
      <c r="L80" s="687">
        <v>0</v>
      </c>
      <c r="M80" s="687">
        <v>0</v>
      </c>
      <c r="N80" s="687"/>
      <c r="O80" s="687"/>
      <c r="P80" s="687"/>
      <c r="Q80" s="687"/>
      <c r="R80" s="687"/>
      <c r="S80" s="687"/>
      <c r="T80" s="687"/>
      <c r="U80" s="687"/>
      <c r="V80" s="687"/>
      <c r="W80" s="687"/>
      <c r="X80" s="687"/>
      <c r="Y80" s="687"/>
      <c r="Z80" s="687"/>
      <c r="AA80" s="687"/>
      <c r="AB80" s="687"/>
      <c r="AC80" s="687"/>
      <c r="AD80" s="687"/>
      <c r="AE80" s="687"/>
      <c r="AF80" s="687"/>
      <c r="AG80" s="687"/>
      <c r="AH80" s="687"/>
      <c r="AI80" s="687"/>
      <c r="AJ80" s="687"/>
      <c r="AK80" s="687"/>
      <c r="AL80" s="687"/>
      <c r="AM80" s="687"/>
      <c r="AN80" s="687"/>
      <c r="AO80" s="687"/>
      <c r="AP80" s="687"/>
      <c r="AQ80" s="687"/>
      <c r="AR80" s="687"/>
      <c r="AS80" s="687"/>
      <c r="AT80" s="687"/>
      <c r="AU80" s="687"/>
      <c r="AV80" s="687"/>
      <c r="AW80" s="687"/>
      <c r="AX80" s="687"/>
      <c r="AY80" s="687"/>
      <c r="AZ80" s="687"/>
      <c r="BA80" s="687"/>
      <c r="BB80" s="687"/>
      <c r="BC80" s="687"/>
      <c r="BD80" s="687"/>
      <c r="BE80" s="687"/>
      <c r="BF80" s="687"/>
      <c r="BG80" s="687"/>
      <c r="BH80" s="687"/>
      <c r="BI80" s="687"/>
      <c r="BJ80" s="687"/>
      <c r="BK80" s="687"/>
      <c r="BL80" s="687"/>
      <c r="BM80" s="687"/>
      <c r="BN80" s="687"/>
      <c r="BO80" s="687"/>
      <c r="BP80" s="687"/>
      <c r="BQ80" s="687"/>
      <c r="BR80" s="687"/>
      <c r="BS80" s="687"/>
      <c r="BT80" s="687"/>
      <c r="BU80" s="687"/>
      <c r="BV80" s="687"/>
      <c r="BW80" s="687">
        <v>0</v>
      </c>
      <c r="BX80" s="687">
        <v>0</v>
      </c>
      <c r="BY80" s="687">
        <v>0</v>
      </c>
      <c r="BZ80" s="687"/>
      <c r="CA80" s="687"/>
      <c r="CB80" s="687"/>
      <c r="CC80" s="687"/>
      <c r="CD80" s="687">
        <f t="shared" si="197"/>
        <v>0</v>
      </c>
      <c r="CE80" s="687">
        <f t="shared" si="211"/>
        <v>0</v>
      </c>
      <c r="CF80" s="687"/>
      <c r="CG80" s="687"/>
      <c r="CH80" s="439"/>
      <c r="CI80" s="758">
        <f t="shared" si="196"/>
        <v>0</v>
      </c>
    </row>
    <row r="81" spans="1:87" ht="39.75" thickTop="1" thickBot="1" x14ac:dyDescent="0.3">
      <c r="A81" s="444"/>
      <c r="B81" s="444"/>
      <c r="C81" s="446"/>
      <c r="D81" s="446"/>
      <c r="E81" s="445"/>
      <c r="F81" s="445"/>
      <c r="G81" s="444"/>
      <c r="H81" s="686" t="s">
        <v>2385</v>
      </c>
      <c r="I81" s="1046">
        <v>200400000</v>
      </c>
      <c r="J81" s="687">
        <v>200400000</v>
      </c>
      <c r="K81" s="687">
        <v>200400000</v>
      </c>
      <c r="L81" s="687">
        <v>0</v>
      </c>
      <c r="M81" s="687">
        <v>0</v>
      </c>
      <c r="N81" s="687"/>
      <c r="O81" s="687"/>
      <c r="P81" s="687"/>
      <c r="Q81" s="687"/>
      <c r="R81" s="687"/>
      <c r="S81" s="687"/>
      <c r="T81" s="687"/>
      <c r="U81" s="687"/>
      <c r="V81" s="687"/>
      <c r="W81" s="687"/>
      <c r="X81" s="687"/>
      <c r="Y81" s="687"/>
      <c r="Z81" s="687"/>
      <c r="AA81" s="687"/>
      <c r="AB81" s="687"/>
      <c r="AC81" s="687"/>
      <c r="AD81" s="687"/>
      <c r="AE81" s="687"/>
      <c r="AF81" s="687"/>
      <c r="AG81" s="687"/>
      <c r="AH81" s="687"/>
      <c r="AI81" s="687"/>
      <c r="AJ81" s="687"/>
      <c r="AK81" s="687"/>
      <c r="AL81" s="687"/>
      <c r="AM81" s="687"/>
      <c r="AN81" s="687"/>
      <c r="AO81" s="687"/>
      <c r="AP81" s="687"/>
      <c r="AQ81" s="687"/>
      <c r="AR81" s="687"/>
      <c r="AS81" s="687"/>
      <c r="AT81" s="687"/>
      <c r="AU81" s="687"/>
      <c r="AV81" s="687"/>
      <c r="AW81" s="687"/>
      <c r="AX81" s="687"/>
      <c r="AY81" s="687"/>
      <c r="AZ81" s="687"/>
      <c r="BA81" s="687"/>
      <c r="BB81" s="687"/>
      <c r="BC81" s="687"/>
      <c r="BD81" s="687"/>
      <c r="BE81" s="687"/>
      <c r="BF81" s="687"/>
      <c r="BG81" s="687"/>
      <c r="BH81" s="687"/>
      <c r="BI81" s="687"/>
      <c r="BJ81" s="687"/>
      <c r="BK81" s="687"/>
      <c r="BL81" s="687"/>
      <c r="BM81" s="687"/>
      <c r="BN81" s="687"/>
      <c r="BO81" s="687"/>
      <c r="BP81" s="687"/>
      <c r="BQ81" s="687"/>
      <c r="BR81" s="687"/>
      <c r="BS81" s="687"/>
      <c r="BT81" s="687"/>
      <c r="BU81" s="687"/>
      <c r="BV81" s="687"/>
      <c r="BW81" s="687">
        <v>0</v>
      </c>
      <c r="BX81" s="687">
        <v>0</v>
      </c>
      <c r="BY81" s="687">
        <v>0</v>
      </c>
      <c r="BZ81" s="687"/>
      <c r="CA81" s="687"/>
      <c r="CB81" s="687"/>
      <c r="CC81" s="687"/>
      <c r="CD81" s="687">
        <f t="shared" si="197"/>
        <v>200400000</v>
      </c>
      <c r="CE81" s="687">
        <f t="shared" si="211"/>
        <v>200400000</v>
      </c>
      <c r="CF81" s="687"/>
      <c r="CG81" s="687"/>
      <c r="CH81" s="439"/>
      <c r="CI81" s="758">
        <f t="shared" si="196"/>
        <v>0</v>
      </c>
    </row>
    <row r="82" spans="1:87" ht="27" thickTop="1" thickBot="1" x14ac:dyDescent="0.3">
      <c r="A82" s="444"/>
      <c r="B82" s="444"/>
      <c r="C82" s="446"/>
      <c r="D82" s="446"/>
      <c r="E82" s="445"/>
      <c r="F82" s="445"/>
      <c r="G82" s="444"/>
      <c r="H82" s="686" t="s">
        <v>2387</v>
      </c>
      <c r="I82" s="1046">
        <v>1000000000</v>
      </c>
      <c r="J82" s="687"/>
      <c r="K82" s="687">
        <v>0</v>
      </c>
      <c r="L82" s="687">
        <v>0</v>
      </c>
      <c r="M82" s="687">
        <v>0</v>
      </c>
      <c r="N82" s="687"/>
      <c r="O82" s="687"/>
      <c r="P82" s="687"/>
      <c r="Q82" s="687"/>
      <c r="R82" s="687"/>
      <c r="S82" s="687"/>
      <c r="T82" s="687"/>
      <c r="U82" s="687"/>
      <c r="V82" s="687"/>
      <c r="W82" s="687"/>
      <c r="X82" s="687"/>
      <c r="Y82" s="687"/>
      <c r="Z82" s="687"/>
      <c r="AA82" s="687"/>
      <c r="AB82" s="687"/>
      <c r="AC82" s="687"/>
      <c r="AD82" s="687"/>
      <c r="AE82" s="687"/>
      <c r="AF82" s="687"/>
      <c r="AG82" s="687"/>
      <c r="AH82" s="687"/>
      <c r="AI82" s="687"/>
      <c r="AJ82" s="687"/>
      <c r="AK82" s="687"/>
      <c r="AL82" s="687"/>
      <c r="AM82" s="687"/>
      <c r="AN82" s="687"/>
      <c r="AO82" s="687"/>
      <c r="AP82" s="687"/>
      <c r="AQ82" s="687"/>
      <c r="AR82" s="687"/>
      <c r="AS82" s="687"/>
      <c r="AT82" s="687"/>
      <c r="AU82" s="687"/>
      <c r="AV82" s="687"/>
      <c r="AW82" s="687"/>
      <c r="AX82" s="687"/>
      <c r="AY82" s="687"/>
      <c r="AZ82" s="687"/>
      <c r="BA82" s="687"/>
      <c r="BB82" s="687"/>
      <c r="BC82" s="687"/>
      <c r="BD82" s="687"/>
      <c r="BE82" s="687"/>
      <c r="BF82" s="687"/>
      <c r="BG82" s="687"/>
      <c r="BH82" s="687"/>
      <c r="BI82" s="687"/>
      <c r="BJ82" s="687"/>
      <c r="BK82" s="687"/>
      <c r="BL82" s="687"/>
      <c r="BM82" s="687"/>
      <c r="BN82" s="687"/>
      <c r="BO82" s="687"/>
      <c r="BP82" s="687"/>
      <c r="BQ82" s="687"/>
      <c r="BR82" s="687">
        <v>1000000000</v>
      </c>
      <c r="BS82" s="687">
        <v>1000000000</v>
      </c>
      <c r="BT82" s="687">
        <v>998477262.03999996</v>
      </c>
      <c r="BU82" s="687">
        <v>998477262.03999996</v>
      </c>
      <c r="BV82" s="687"/>
      <c r="BW82" s="687">
        <v>0</v>
      </c>
      <c r="BX82" s="687">
        <v>0</v>
      </c>
      <c r="BY82" s="687">
        <v>0</v>
      </c>
      <c r="BZ82" s="687"/>
      <c r="CA82" s="687"/>
      <c r="CB82" s="687"/>
      <c r="CC82" s="687"/>
      <c r="CD82" s="687">
        <f t="shared" si="197"/>
        <v>1000000000</v>
      </c>
      <c r="CE82" s="687">
        <f t="shared" si="211"/>
        <v>1000000000</v>
      </c>
      <c r="CF82" s="687">
        <v>998477262.03999996</v>
      </c>
      <c r="CG82" s="687">
        <f>+CF82</f>
        <v>998477262.03999996</v>
      </c>
      <c r="CH82" s="439"/>
      <c r="CI82" s="758">
        <f t="shared" si="196"/>
        <v>0</v>
      </c>
    </row>
    <row r="83" spans="1:87" ht="39.75" thickTop="1" thickBot="1" x14ac:dyDescent="0.3">
      <c r="A83" s="444"/>
      <c r="B83" s="444"/>
      <c r="C83" s="446"/>
      <c r="D83" s="446"/>
      <c r="E83" s="445"/>
      <c r="F83" s="445"/>
      <c r="G83" s="444"/>
      <c r="H83" s="686" t="s">
        <v>2390</v>
      </c>
      <c r="I83" s="1046">
        <v>200400000</v>
      </c>
      <c r="J83" s="687">
        <v>200400000</v>
      </c>
      <c r="K83" s="687">
        <v>200400000</v>
      </c>
      <c r="L83" s="687">
        <v>192255960</v>
      </c>
      <c r="M83" s="687">
        <v>192255960</v>
      </c>
      <c r="N83" s="687"/>
      <c r="O83" s="687"/>
      <c r="P83" s="687"/>
      <c r="Q83" s="687"/>
      <c r="R83" s="687"/>
      <c r="S83" s="687"/>
      <c r="T83" s="687"/>
      <c r="U83" s="687"/>
      <c r="V83" s="687"/>
      <c r="W83" s="687"/>
      <c r="X83" s="687"/>
      <c r="Y83" s="687"/>
      <c r="Z83" s="687"/>
      <c r="AA83" s="687"/>
      <c r="AB83" s="687"/>
      <c r="AC83" s="687"/>
      <c r="AD83" s="687"/>
      <c r="AE83" s="687"/>
      <c r="AF83" s="687"/>
      <c r="AG83" s="687"/>
      <c r="AH83" s="687"/>
      <c r="AI83" s="687"/>
      <c r="AJ83" s="687"/>
      <c r="AK83" s="687"/>
      <c r="AL83" s="687"/>
      <c r="AM83" s="687"/>
      <c r="AN83" s="687"/>
      <c r="AO83" s="687"/>
      <c r="AP83" s="687"/>
      <c r="AQ83" s="687"/>
      <c r="AR83" s="687"/>
      <c r="AS83" s="687"/>
      <c r="AT83" s="687"/>
      <c r="AU83" s="687"/>
      <c r="AV83" s="687"/>
      <c r="AW83" s="687"/>
      <c r="AX83" s="687"/>
      <c r="AY83" s="687"/>
      <c r="AZ83" s="687"/>
      <c r="BA83" s="687"/>
      <c r="BB83" s="687"/>
      <c r="BC83" s="687"/>
      <c r="BD83" s="687"/>
      <c r="BE83" s="687"/>
      <c r="BF83" s="687"/>
      <c r="BG83" s="687"/>
      <c r="BH83" s="687"/>
      <c r="BI83" s="687"/>
      <c r="BJ83" s="687"/>
      <c r="BK83" s="687"/>
      <c r="BL83" s="687"/>
      <c r="BM83" s="687"/>
      <c r="BN83" s="687"/>
      <c r="BO83" s="687"/>
      <c r="BP83" s="687"/>
      <c r="BQ83" s="687"/>
      <c r="BR83" s="687"/>
      <c r="BS83" s="687">
        <v>0</v>
      </c>
      <c r="BT83" s="687">
        <v>0</v>
      </c>
      <c r="BU83" s="687">
        <v>0</v>
      </c>
      <c r="BV83" s="687"/>
      <c r="BW83" s="687">
        <v>0</v>
      </c>
      <c r="BX83" s="687">
        <v>0</v>
      </c>
      <c r="BY83" s="687">
        <v>0</v>
      </c>
      <c r="BZ83" s="687"/>
      <c r="CA83" s="687"/>
      <c r="CB83" s="687"/>
      <c r="CC83" s="687"/>
      <c r="CD83" s="687">
        <f t="shared" si="197"/>
        <v>200400000</v>
      </c>
      <c r="CE83" s="687">
        <f t="shared" si="211"/>
        <v>200400000</v>
      </c>
      <c r="CF83" s="687">
        <v>192255960</v>
      </c>
      <c r="CG83" s="687">
        <f>+CF83</f>
        <v>192255960</v>
      </c>
      <c r="CH83" s="439"/>
      <c r="CI83" s="758">
        <f t="shared" si="196"/>
        <v>0</v>
      </c>
    </row>
    <row r="84" spans="1:87" ht="52.5" thickTop="1" thickBot="1" x14ac:dyDescent="0.3">
      <c r="A84" s="444"/>
      <c r="B84" s="444"/>
      <c r="C84" s="446"/>
      <c r="D84" s="446"/>
      <c r="E84" s="445"/>
      <c r="F84" s="445"/>
      <c r="G84" s="444"/>
      <c r="H84" s="686" t="s">
        <v>2392</v>
      </c>
      <c r="I84" s="1046">
        <v>62875000</v>
      </c>
      <c r="J84" s="687">
        <v>50000000</v>
      </c>
      <c r="K84" s="687">
        <v>50000000</v>
      </c>
      <c r="L84" s="687">
        <v>30171500</v>
      </c>
      <c r="M84" s="687"/>
      <c r="N84" s="687"/>
      <c r="O84" s="687"/>
      <c r="P84" s="687"/>
      <c r="Q84" s="687"/>
      <c r="S84" s="687"/>
      <c r="T84" s="687"/>
      <c r="U84" s="687"/>
      <c r="V84" s="687"/>
      <c r="W84" s="687"/>
      <c r="X84" s="687"/>
      <c r="Y84" s="687"/>
      <c r="Z84" s="687"/>
      <c r="AA84" s="687"/>
      <c r="AB84" s="687"/>
      <c r="AC84" s="687"/>
      <c r="AD84" s="687"/>
      <c r="AE84" s="687"/>
      <c r="AF84" s="687"/>
      <c r="AG84" s="687"/>
      <c r="AH84" s="687"/>
      <c r="AI84" s="687"/>
      <c r="AJ84" s="687"/>
      <c r="AK84" s="687"/>
      <c r="AL84" s="687"/>
      <c r="AM84" s="687"/>
      <c r="AN84" s="687"/>
      <c r="AO84" s="687"/>
      <c r="AP84" s="687"/>
      <c r="AQ84" s="687"/>
      <c r="AR84" s="687"/>
      <c r="AS84" s="687"/>
      <c r="AT84" s="687"/>
      <c r="AU84" s="687"/>
      <c r="AV84" s="687"/>
      <c r="AW84" s="687"/>
      <c r="AX84" s="687"/>
      <c r="AY84" s="687"/>
      <c r="AZ84" s="687"/>
      <c r="BA84" s="687"/>
      <c r="BB84" s="687"/>
      <c r="BC84" s="687"/>
      <c r="BD84" s="687"/>
      <c r="BE84" s="687"/>
      <c r="BF84" s="687"/>
      <c r="BG84" s="687"/>
      <c r="BH84" s="687"/>
      <c r="BI84" s="687"/>
      <c r="BJ84" s="687"/>
      <c r="BK84" s="687"/>
      <c r="BL84" s="687"/>
      <c r="BM84" s="687"/>
      <c r="BN84" s="687"/>
      <c r="BO84" s="687"/>
      <c r="BP84" s="687"/>
      <c r="BQ84" s="687"/>
      <c r="BR84" s="687">
        <v>12875000</v>
      </c>
      <c r="BS84" s="687">
        <v>12875000</v>
      </c>
      <c r="BT84" s="687">
        <v>12875000</v>
      </c>
      <c r="BU84" s="687">
        <v>0</v>
      </c>
      <c r="BV84" s="687"/>
      <c r="BW84" s="687">
        <v>0</v>
      </c>
      <c r="BX84" s="687">
        <v>0</v>
      </c>
      <c r="BY84" s="687">
        <v>0</v>
      </c>
      <c r="BZ84" s="687"/>
      <c r="CA84" s="687"/>
      <c r="CB84" s="687"/>
      <c r="CC84" s="687"/>
      <c r="CD84" s="687">
        <f t="shared" si="197"/>
        <v>62875000</v>
      </c>
      <c r="CE84" s="687">
        <f t="shared" si="211"/>
        <v>62875000</v>
      </c>
      <c r="CF84" s="687">
        <v>43046500</v>
      </c>
      <c r="CG84" s="687">
        <v>0</v>
      </c>
      <c r="CH84" s="439"/>
      <c r="CI84" s="758">
        <f t="shared" si="196"/>
        <v>0</v>
      </c>
    </row>
    <row r="85" spans="1:87" ht="27" thickTop="1" thickBot="1" x14ac:dyDescent="0.3">
      <c r="A85" s="444"/>
      <c r="B85" s="444"/>
      <c r="C85" s="446"/>
      <c r="D85" s="446"/>
      <c r="E85" s="445"/>
      <c r="F85" s="445"/>
      <c r="G85" s="444"/>
      <c r="H85" s="686" t="s">
        <v>2395</v>
      </c>
      <c r="I85" s="1046">
        <v>648396653.60000002</v>
      </c>
      <c r="J85" s="687">
        <v>648396653.60000002</v>
      </c>
      <c r="K85" s="687">
        <v>648396653.60000002</v>
      </c>
      <c r="L85" s="687">
        <v>648396653.60000002</v>
      </c>
      <c r="M85" s="687">
        <v>648396653.60000002</v>
      </c>
      <c r="N85" s="687"/>
      <c r="O85" s="687"/>
      <c r="P85" s="687"/>
      <c r="Q85" s="687"/>
      <c r="R85" s="687"/>
      <c r="S85" s="687"/>
      <c r="T85" s="687"/>
      <c r="U85" s="687"/>
      <c r="V85" s="687"/>
      <c r="W85" s="687"/>
      <c r="X85" s="687"/>
      <c r="Y85" s="687"/>
      <c r="Z85" s="687"/>
      <c r="AA85" s="687"/>
      <c r="AB85" s="687"/>
      <c r="AC85" s="687"/>
      <c r="AD85" s="687"/>
      <c r="AE85" s="687"/>
      <c r="AF85" s="687"/>
      <c r="AG85" s="687"/>
      <c r="AH85" s="687"/>
      <c r="AI85" s="687"/>
      <c r="AJ85" s="687"/>
      <c r="AK85" s="687"/>
      <c r="AL85" s="687"/>
      <c r="AM85" s="687"/>
      <c r="AN85" s="687"/>
      <c r="AO85" s="687"/>
      <c r="AP85" s="687"/>
      <c r="AQ85" s="687"/>
      <c r="AR85" s="687"/>
      <c r="AS85" s="687"/>
      <c r="AT85" s="687"/>
      <c r="AU85" s="687"/>
      <c r="AV85" s="687"/>
      <c r="AW85" s="687"/>
      <c r="AX85" s="687"/>
      <c r="AY85" s="687"/>
      <c r="AZ85" s="687"/>
      <c r="BA85" s="687"/>
      <c r="BB85" s="687"/>
      <c r="BC85" s="687"/>
      <c r="BD85" s="687"/>
      <c r="BE85" s="687"/>
      <c r="BF85" s="687"/>
      <c r="BG85" s="687"/>
      <c r="BH85" s="687"/>
      <c r="BI85" s="687"/>
      <c r="BJ85" s="687"/>
      <c r="BK85" s="687"/>
      <c r="BL85" s="687"/>
      <c r="BM85" s="687"/>
      <c r="BN85" s="687"/>
      <c r="BO85" s="687"/>
      <c r="BP85" s="687"/>
      <c r="BQ85" s="687"/>
      <c r="BR85" s="687"/>
      <c r="BS85" s="687"/>
      <c r="BT85" s="687"/>
      <c r="BU85" s="687"/>
      <c r="BV85" s="687"/>
      <c r="BW85" s="687">
        <v>0</v>
      </c>
      <c r="BX85" s="687">
        <v>0</v>
      </c>
      <c r="BY85" s="687">
        <v>0</v>
      </c>
      <c r="BZ85" s="687"/>
      <c r="CA85" s="687"/>
      <c r="CB85" s="687"/>
      <c r="CC85" s="687"/>
      <c r="CD85" s="687">
        <f t="shared" si="197"/>
        <v>648396653.60000002</v>
      </c>
      <c r="CE85" s="687">
        <f t="shared" si="211"/>
        <v>648396653.60000002</v>
      </c>
      <c r="CF85" s="687">
        <v>648396653.60000002</v>
      </c>
      <c r="CG85" s="687">
        <f>+CF85</f>
        <v>648396653.60000002</v>
      </c>
      <c r="CH85" s="439"/>
      <c r="CI85" s="758">
        <f t="shared" si="196"/>
        <v>0</v>
      </c>
    </row>
    <row r="86" spans="1:87" ht="52.5" thickTop="1" thickBot="1" x14ac:dyDescent="0.3">
      <c r="A86" s="444"/>
      <c r="B86" s="444"/>
      <c r="C86" s="446"/>
      <c r="D86" s="446"/>
      <c r="E86" s="445"/>
      <c r="F86" s="445"/>
      <c r="G86" s="444"/>
      <c r="H86" s="686" t="s">
        <v>2398</v>
      </c>
      <c r="I86" s="1046">
        <v>0</v>
      </c>
      <c r="J86" s="687">
        <v>0</v>
      </c>
      <c r="K86" s="687">
        <v>0</v>
      </c>
      <c r="L86" s="687">
        <v>0</v>
      </c>
      <c r="M86" s="687">
        <v>0</v>
      </c>
      <c r="N86" s="687"/>
      <c r="O86" s="687"/>
      <c r="P86" s="687"/>
      <c r="Q86" s="687"/>
      <c r="R86" s="687"/>
      <c r="S86" s="687"/>
      <c r="T86" s="687"/>
      <c r="U86" s="687"/>
      <c r="V86" s="687"/>
      <c r="W86" s="687"/>
      <c r="X86" s="687"/>
      <c r="Y86" s="687"/>
      <c r="Z86" s="687"/>
      <c r="AA86" s="687"/>
      <c r="AB86" s="687"/>
      <c r="AC86" s="687"/>
      <c r="AD86" s="687"/>
      <c r="AE86" s="687"/>
      <c r="AF86" s="687"/>
      <c r="AG86" s="687"/>
      <c r="AH86" s="687"/>
      <c r="AI86" s="687"/>
      <c r="AJ86" s="687"/>
      <c r="AK86" s="687"/>
      <c r="AL86" s="687"/>
      <c r="AM86" s="687"/>
      <c r="AN86" s="687"/>
      <c r="AO86" s="687"/>
      <c r="AP86" s="687"/>
      <c r="AQ86" s="687"/>
      <c r="AR86" s="687"/>
      <c r="AS86" s="687"/>
      <c r="AT86" s="687"/>
      <c r="AU86" s="687"/>
      <c r="AV86" s="687"/>
      <c r="AW86" s="687"/>
      <c r="AX86" s="687"/>
      <c r="AY86" s="687"/>
      <c r="AZ86" s="687"/>
      <c r="BA86" s="687"/>
      <c r="BB86" s="687"/>
      <c r="BC86" s="687"/>
      <c r="BD86" s="687"/>
      <c r="BE86" s="687"/>
      <c r="BF86" s="687"/>
      <c r="BG86" s="687"/>
      <c r="BH86" s="687"/>
      <c r="BI86" s="687"/>
      <c r="BJ86" s="687"/>
      <c r="BK86" s="687"/>
      <c r="BL86" s="687"/>
      <c r="BM86" s="687"/>
      <c r="BN86" s="687"/>
      <c r="BO86" s="687"/>
      <c r="BP86" s="687"/>
      <c r="BQ86" s="687"/>
      <c r="BR86" s="687"/>
      <c r="BS86" s="687"/>
      <c r="BT86" s="687"/>
      <c r="BU86" s="687"/>
      <c r="BV86" s="687"/>
      <c r="BW86" s="687">
        <v>0</v>
      </c>
      <c r="BX86" s="687">
        <v>0</v>
      </c>
      <c r="BY86" s="687">
        <v>0</v>
      </c>
      <c r="BZ86" s="687"/>
      <c r="CA86" s="687"/>
      <c r="CB86" s="687"/>
      <c r="CC86" s="687"/>
      <c r="CD86" s="687">
        <f t="shared" si="197"/>
        <v>0</v>
      </c>
      <c r="CE86" s="687">
        <f t="shared" si="211"/>
        <v>0</v>
      </c>
      <c r="CF86" s="687"/>
      <c r="CG86" s="687"/>
      <c r="CH86" s="439"/>
      <c r="CI86" s="758">
        <f t="shared" si="196"/>
        <v>0</v>
      </c>
    </row>
    <row r="87" spans="1:87" ht="27" thickTop="1" thickBot="1" x14ac:dyDescent="0.3">
      <c r="A87" s="444"/>
      <c r="B87" s="444"/>
      <c r="C87" s="446"/>
      <c r="D87" s="446"/>
      <c r="E87" s="445"/>
      <c r="F87" s="445"/>
      <c r="G87" s="444"/>
      <c r="H87" s="686" t="s">
        <v>2400</v>
      </c>
      <c r="I87" s="1046">
        <v>0</v>
      </c>
      <c r="J87" s="687">
        <v>0</v>
      </c>
      <c r="K87" s="687">
        <v>0</v>
      </c>
      <c r="L87" s="687">
        <v>0</v>
      </c>
      <c r="M87" s="687">
        <v>0</v>
      </c>
      <c r="N87" s="687"/>
      <c r="O87" s="687"/>
      <c r="P87" s="687"/>
      <c r="Q87" s="687"/>
      <c r="R87" s="687"/>
      <c r="S87" s="687"/>
      <c r="T87" s="687"/>
      <c r="U87" s="687"/>
      <c r="V87" s="687"/>
      <c r="W87" s="687"/>
      <c r="X87" s="687"/>
      <c r="Y87" s="687"/>
      <c r="Z87" s="687"/>
      <c r="AA87" s="687"/>
      <c r="AB87" s="687"/>
      <c r="AC87" s="687"/>
      <c r="AD87" s="687"/>
      <c r="AE87" s="687"/>
      <c r="AF87" s="687"/>
      <c r="AG87" s="687"/>
      <c r="AH87" s="687"/>
      <c r="AI87" s="687"/>
      <c r="AJ87" s="687"/>
      <c r="AK87" s="687"/>
      <c r="AL87" s="687"/>
      <c r="AM87" s="687"/>
      <c r="AN87" s="687"/>
      <c r="AO87" s="687"/>
      <c r="AP87" s="687"/>
      <c r="AQ87" s="687"/>
      <c r="AR87" s="687"/>
      <c r="AS87" s="687"/>
      <c r="AT87" s="687"/>
      <c r="AU87" s="687"/>
      <c r="AV87" s="687"/>
      <c r="AW87" s="687"/>
      <c r="AX87" s="687"/>
      <c r="AY87" s="687"/>
      <c r="AZ87" s="687"/>
      <c r="BA87" s="687"/>
      <c r="BB87" s="687"/>
      <c r="BC87" s="687"/>
      <c r="BD87" s="687"/>
      <c r="BE87" s="687"/>
      <c r="BF87" s="687"/>
      <c r="BG87" s="687"/>
      <c r="BH87" s="687"/>
      <c r="BI87" s="687"/>
      <c r="BJ87" s="687"/>
      <c r="BK87" s="687"/>
      <c r="BL87" s="687"/>
      <c r="BM87" s="687"/>
      <c r="BN87" s="687"/>
      <c r="BO87" s="687"/>
      <c r="BP87" s="687"/>
      <c r="BQ87" s="687"/>
      <c r="BR87" s="687"/>
      <c r="BS87" s="687"/>
      <c r="BT87" s="687"/>
      <c r="BU87" s="687"/>
      <c r="BV87" s="687">
        <v>0</v>
      </c>
      <c r="BW87" s="687">
        <v>0</v>
      </c>
      <c r="BX87" s="687">
        <v>0</v>
      </c>
      <c r="BY87" s="687">
        <v>0</v>
      </c>
      <c r="BZ87" s="687"/>
      <c r="CA87" s="687"/>
      <c r="CB87" s="687"/>
      <c r="CC87" s="687"/>
      <c r="CD87" s="687">
        <f t="shared" si="197"/>
        <v>0</v>
      </c>
      <c r="CE87" s="687">
        <f t="shared" si="211"/>
        <v>0</v>
      </c>
      <c r="CF87" s="687"/>
      <c r="CG87" s="687"/>
      <c r="CH87" s="439"/>
      <c r="CI87" s="758">
        <f t="shared" si="196"/>
        <v>0</v>
      </c>
    </row>
    <row r="88" spans="1:87" ht="39.75" thickTop="1" thickBot="1" x14ac:dyDescent="0.3">
      <c r="A88" s="444"/>
      <c r="B88" s="444"/>
      <c r="C88" s="446"/>
      <c r="D88" s="446"/>
      <c r="E88" s="445"/>
      <c r="F88" s="445"/>
      <c r="G88" s="444"/>
      <c r="H88" s="686" t="s">
        <v>2403</v>
      </c>
      <c r="I88" s="1046">
        <v>500000000</v>
      </c>
      <c r="J88" s="687">
        <v>100000000</v>
      </c>
      <c r="K88" s="687">
        <v>100000000</v>
      </c>
      <c r="L88" s="687">
        <v>0</v>
      </c>
      <c r="M88" s="687">
        <v>0</v>
      </c>
      <c r="N88" s="687"/>
      <c r="O88" s="687"/>
      <c r="P88" s="687"/>
      <c r="Q88" s="687"/>
      <c r="R88" s="687"/>
      <c r="S88" s="687"/>
      <c r="T88" s="687"/>
      <c r="U88" s="687"/>
      <c r="V88" s="687"/>
      <c r="W88" s="687"/>
      <c r="X88" s="687"/>
      <c r="Y88" s="687"/>
      <c r="Z88" s="687"/>
      <c r="AA88" s="687"/>
      <c r="AB88" s="687"/>
      <c r="AC88" s="687"/>
      <c r="AD88" s="687">
        <v>100000000</v>
      </c>
      <c r="AE88" s="687">
        <v>100000000</v>
      </c>
      <c r="AF88" s="687">
        <v>0</v>
      </c>
      <c r="AG88" s="687">
        <v>0</v>
      </c>
      <c r="AH88" s="687"/>
      <c r="AI88" s="687"/>
      <c r="AJ88" s="687"/>
      <c r="AK88" s="687"/>
      <c r="AL88" s="687"/>
      <c r="AM88" s="687"/>
      <c r="AN88" s="687"/>
      <c r="AO88" s="687"/>
      <c r="AP88" s="687"/>
      <c r="AQ88" s="687"/>
      <c r="AR88" s="687"/>
      <c r="AS88" s="687"/>
      <c r="AT88" s="687"/>
      <c r="AU88" s="687"/>
      <c r="AV88" s="687"/>
      <c r="AW88" s="687"/>
      <c r="AX88" s="687"/>
      <c r="AY88" s="687"/>
      <c r="AZ88" s="687"/>
      <c r="BA88" s="687"/>
      <c r="BB88" s="687"/>
      <c r="BC88" s="687"/>
      <c r="BD88" s="687"/>
      <c r="BE88" s="687"/>
      <c r="BF88" s="687"/>
      <c r="BG88" s="687"/>
      <c r="BH88" s="687"/>
      <c r="BI88" s="687"/>
      <c r="BJ88" s="687"/>
      <c r="BK88" s="687"/>
      <c r="BL88" s="687"/>
      <c r="BM88" s="687"/>
      <c r="BN88" s="687"/>
      <c r="BO88" s="687"/>
      <c r="BP88" s="687"/>
      <c r="BQ88" s="687"/>
      <c r="BR88" s="687"/>
      <c r="BS88" s="687"/>
      <c r="BT88" s="687"/>
      <c r="BU88" s="687"/>
      <c r="BV88" s="687">
        <v>300000000</v>
      </c>
      <c r="BW88" s="687">
        <v>300000000</v>
      </c>
      <c r="BX88" s="687">
        <v>0</v>
      </c>
      <c r="BY88" s="687">
        <v>0</v>
      </c>
      <c r="BZ88" s="687"/>
      <c r="CA88" s="687"/>
      <c r="CB88" s="687"/>
      <c r="CC88" s="687"/>
      <c r="CD88" s="687">
        <f t="shared" si="197"/>
        <v>500000000</v>
      </c>
      <c r="CE88" s="687">
        <f t="shared" si="211"/>
        <v>500000000</v>
      </c>
      <c r="CF88" s="687"/>
      <c r="CG88" s="687"/>
      <c r="CH88" s="439"/>
      <c r="CI88" s="758">
        <f t="shared" si="196"/>
        <v>0</v>
      </c>
    </row>
    <row r="89" spans="1:87" ht="27" thickTop="1" thickBot="1" x14ac:dyDescent="0.3">
      <c r="A89" s="717"/>
      <c r="B89" s="717"/>
      <c r="C89" s="716"/>
      <c r="D89" s="716"/>
      <c r="E89" s="716"/>
      <c r="F89" s="716"/>
      <c r="G89" s="717"/>
      <c r="H89" s="708" t="s">
        <v>2237</v>
      </c>
      <c r="I89" s="1047">
        <f t="shared" ref="I89:BS89" si="212">+I90</f>
        <v>500000000</v>
      </c>
      <c r="J89" s="1047">
        <f t="shared" si="212"/>
        <v>400000000</v>
      </c>
      <c r="K89" s="1047">
        <f t="shared" si="212"/>
        <v>400000000</v>
      </c>
      <c r="L89" s="1047">
        <f t="shared" si="212"/>
        <v>400000000</v>
      </c>
      <c r="M89" s="1047">
        <f t="shared" si="212"/>
        <v>400000000</v>
      </c>
      <c r="N89" s="1047">
        <f t="shared" si="212"/>
        <v>0</v>
      </c>
      <c r="O89" s="1047">
        <f t="shared" si="212"/>
        <v>0</v>
      </c>
      <c r="P89" s="1047">
        <f t="shared" si="212"/>
        <v>0</v>
      </c>
      <c r="Q89" s="1047">
        <f t="shared" si="212"/>
        <v>0</v>
      </c>
      <c r="R89" s="1047">
        <f t="shared" si="212"/>
        <v>0</v>
      </c>
      <c r="S89" s="1047">
        <f t="shared" si="212"/>
        <v>0</v>
      </c>
      <c r="T89" s="1047">
        <f t="shared" si="212"/>
        <v>0</v>
      </c>
      <c r="U89" s="1047">
        <f t="shared" si="212"/>
        <v>0</v>
      </c>
      <c r="V89" s="1047">
        <f t="shared" si="212"/>
        <v>0</v>
      </c>
      <c r="W89" s="1047">
        <f t="shared" si="212"/>
        <v>0</v>
      </c>
      <c r="X89" s="1047">
        <f t="shared" si="212"/>
        <v>0</v>
      </c>
      <c r="Y89" s="1047">
        <f t="shared" si="212"/>
        <v>0</v>
      </c>
      <c r="Z89" s="1047">
        <f t="shared" si="212"/>
        <v>0</v>
      </c>
      <c r="AA89" s="1047">
        <f t="shared" si="212"/>
        <v>0</v>
      </c>
      <c r="AB89" s="1047">
        <f t="shared" si="212"/>
        <v>0</v>
      </c>
      <c r="AC89" s="1047">
        <f t="shared" si="212"/>
        <v>0</v>
      </c>
      <c r="AD89" s="1047">
        <f t="shared" si="212"/>
        <v>0</v>
      </c>
      <c r="AE89" s="1047">
        <f t="shared" si="212"/>
        <v>0</v>
      </c>
      <c r="AF89" s="1047">
        <f t="shared" si="212"/>
        <v>0</v>
      </c>
      <c r="AG89" s="1047">
        <f t="shared" si="212"/>
        <v>0</v>
      </c>
      <c r="AH89" s="1047">
        <f t="shared" si="212"/>
        <v>0</v>
      </c>
      <c r="AI89" s="1047">
        <f t="shared" si="212"/>
        <v>0</v>
      </c>
      <c r="AJ89" s="1047">
        <f t="shared" si="212"/>
        <v>0</v>
      </c>
      <c r="AK89" s="1047">
        <f t="shared" si="212"/>
        <v>0</v>
      </c>
      <c r="AL89" s="1047">
        <f t="shared" si="212"/>
        <v>0</v>
      </c>
      <c r="AM89" s="1047">
        <f t="shared" si="212"/>
        <v>0</v>
      </c>
      <c r="AN89" s="1047">
        <f t="shared" si="212"/>
        <v>0</v>
      </c>
      <c r="AO89" s="1047">
        <f t="shared" si="212"/>
        <v>0</v>
      </c>
      <c r="AP89" s="1047">
        <f t="shared" si="212"/>
        <v>0</v>
      </c>
      <c r="AQ89" s="1047">
        <f t="shared" si="212"/>
        <v>0</v>
      </c>
      <c r="AR89" s="1047">
        <f t="shared" si="212"/>
        <v>0</v>
      </c>
      <c r="AS89" s="1047">
        <f t="shared" si="212"/>
        <v>0</v>
      </c>
      <c r="AT89" s="1047">
        <f t="shared" si="212"/>
        <v>0</v>
      </c>
      <c r="AU89" s="1047">
        <f t="shared" si="212"/>
        <v>0</v>
      </c>
      <c r="AV89" s="1047">
        <f t="shared" si="212"/>
        <v>0</v>
      </c>
      <c r="AW89" s="1047">
        <f t="shared" si="212"/>
        <v>0</v>
      </c>
      <c r="AX89" s="1047">
        <f t="shared" si="212"/>
        <v>0</v>
      </c>
      <c r="AY89" s="1047">
        <f t="shared" si="212"/>
        <v>0</v>
      </c>
      <c r="AZ89" s="1047">
        <f t="shared" si="212"/>
        <v>0</v>
      </c>
      <c r="BA89" s="1047">
        <f t="shared" si="212"/>
        <v>0</v>
      </c>
      <c r="BB89" s="1047">
        <f t="shared" si="212"/>
        <v>0</v>
      </c>
      <c r="BC89" s="1047">
        <f t="shared" si="212"/>
        <v>0</v>
      </c>
      <c r="BD89" s="1047">
        <f t="shared" si="212"/>
        <v>0</v>
      </c>
      <c r="BE89" s="1047">
        <f t="shared" si="212"/>
        <v>0</v>
      </c>
      <c r="BF89" s="1047">
        <f t="shared" si="212"/>
        <v>0</v>
      </c>
      <c r="BG89" s="1047">
        <f t="shared" si="212"/>
        <v>0</v>
      </c>
      <c r="BH89" s="1047">
        <f t="shared" si="212"/>
        <v>0</v>
      </c>
      <c r="BI89" s="1047">
        <f t="shared" si="212"/>
        <v>0</v>
      </c>
      <c r="BJ89" s="1047">
        <f t="shared" si="212"/>
        <v>0</v>
      </c>
      <c r="BK89" s="1047">
        <f t="shared" si="212"/>
        <v>0</v>
      </c>
      <c r="BL89" s="1047">
        <f t="shared" si="212"/>
        <v>0</v>
      </c>
      <c r="BM89" s="1047">
        <f t="shared" si="212"/>
        <v>0</v>
      </c>
      <c r="BN89" s="1047">
        <f t="shared" si="212"/>
        <v>0</v>
      </c>
      <c r="BO89" s="1047">
        <f t="shared" si="212"/>
        <v>0</v>
      </c>
      <c r="BP89" s="1047">
        <f t="shared" si="212"/>
        <v>0</v>
      </c>
      <c r="BQ89" s="1047">
        <f t="shared" si="212"/>
        <v>0</v>
      </c>
      <c r="BR89" s="1047">
        <f t="shared" si="212"/>
        <v>0</v>
      </c>
      <c r="BS89" s="1047">
        <f t="shared" si="212"/>
        <v>0</v>
      </c>
      <c r="BT89" s="1047">
        <f t="shared" ref="BT89:CC89" si="213">+BT90</f>
        <v>0</v>
      </c>
      <c r="BU89" s="1047">
        <f t="shared" si="213"/>
        <v>0</v>
      </c>
      <c r="BV89" s="1047">
        <f t="shared" si="213"/>
        <v>100000000</v>
      </c>
      <c r="BW89" s="1047">
        <f t="shared" si="213"/>
        <v>99992000</v>
      </c>
      <c r="BX89" s="1047">
        <f t="shared" si="213"/>
        <v>99992000</v>
      </c>
      <c r="BY89" s="1047">
        <f t="shared" si="213"/>
        <v>99992000</v>
      </c>
      <c r="BZ89" s="1047">
        <f t="shared" si="213"/>
        <v>0</v>
      </c>
      <c r="CA89" s="1047">
        <f t="shared" si="213"/>
        <v>0</v>
      </c>
      <c r="CB89" s="1047">
        <f t="shared" si="213"/>
        <v>0</v>
      </c>
      <c r="CC89" s="1047">
        <f t="shared" si="213"/>
        <v>0</v>
      </c>
      <c r="CD89" s="752">
        <f t="shared" si="197"/>
        <v>500000000</v>
      </c>
      <c r="CE89" s="752">
        <f t="shared" si="211"/>
        <v>499992000</v>
      </c>
      <c r="CF89" s="752">
        <f t="shared" ref="CF89" si="214">+L89+P89+T89+X89+AB89+AF89+AJ89+AN89+AR89+AV89+AZ89+BD89+BH89+BL89+BP89+BT89+BX89+CB89</f>
        <v>499992000</v>
      </c>
      <c r="CG89" s="752">
        <f t="shared" ref="CG89" si="215">+M89+Q89+U89+Y89+AC89+AG89+AK89+AO89+AS89+AW89+BA89+BE89+BI89+BM89+BQ89+BU89+BY89+CC89</f>
        <v>499992000</v>
      </c>
      <c r="CH89" s="709"/>
      <c r="CI89" s="758">
        <f t="shared" si="196"/>
        <v>0</v>
      </c>
    </row>
    <row r="90" spans="1:87" ht="39.75" thickTop="1" thickBot="1" x14ac:dyDescent="0.3">
      <c r="A90" s="710"/>
      <c r="B90" s="710"/>
      <c r="C90" s="711"/>
      <c r="D90" s="711"/>
      <c r="E90" s="712"/>
      <c r="F90" s="712"/>
      <c r="G90" s="710"/>
      <c r="H90" s="689" t="s">
        <v>2171</v>
      </c>
      <c r="I90" s="1048">
        <f t="shared" ref="I90:BS90" si="216">+SUM(I91:I95)</f>
        <v>500000000</v>
      </c>
      <c r="J90" s="1048">
        <f t="shared" si="216"/>
        <v>400000000</v>
      </c>
      <c r="K90" s="1048">
        <f t="shared" si="216"/>
        <v>400000000</v>
      </c>
      <c r="L90" s="1048">
        <f t="shared" si="216"/>
        <v>400000000</v>
      </c>
      <c r="M90" s="1048">
        <f t="shared" si="216"/>
        <v>400000000</v>
      </c>
      <c r="N90" s="1048">
        <f t="shared" si="216"/>
        <v>0</v>
      </c>
      <c r="O90" s="1048">
        <f t="shared" si="216"/>
        <v>0</v>
      </c>
      <c r="P90" s="1048">
        <f t="shared" si="216"/>
        <v>0</v>
      </c>
      <c r="Q90" s="1048">
        <f t="shared" si="216"/>
        <v>0</v>
      </c>
      <c r="R90" s="1048">
        <f t="shared" si="216"/>
        <v>0</v>
      </c>
      <c r="S90" s="1048">
        <f t="shared" si="216"/>
        <v>0</v>
      </c>
      <c r="T90" s="1048">
        <f t="shared" si="216"/>
        <v>0</v>
      </c>
      <c r="U90" s="1048">
        <f t="shared" si="216"/>
        <v>0</v>
      </c>
      <c r="V90" s="1048">
        <f t="shared" si="216"/>
        <v>0</v>
      </c>
      <c r="W90" s="1048">
        <f t="shared" si="216"/>
        <v>0</v>
      </c>
      <c r="X90" s="1048">
        <f t="shared" si="216"/>
        <v>0</v>
      </c>
      <c r="Y90" s="1048">
        <f t="shared" si="216"/>
        <v>0</v>
      </c>
      <c r="Z90" s="1048">
        <f t="shared" si="216"/>
        <v>0</v>
      </c>
      <c r="AA90" s="1048">
        <f t="shared" si="216"/>
        <v>0</v>
      </c>
      <c r="AB90" s="1048">
        <f t="shared" si="216"/>
        <v>0</v>
      </c>
      <c r="AC90" s="1048">
        <f t="shared" si="216"/>
        <v>0</v>
      </c>
      <c r="AD90" s="1048">
        <f t="shared" si="216"/>
        <v>0</v>
      </c>
      <c r="AE90" s="1048">
        <f t="shared" si="216"/>
        <v>0</v>
      </c>
      <c r="AF90" s="1048">
        <f t="shared" si="216"/>
        <v>0</v>
      </c>
      <c r="AG90" s="1048">
        <f t="shared" si="216"/>
        <v>0</v>
      </c>
      <c r="AH90" s="1048">
        <f t="shared" si="216"/>
        <v>0</v>
      </c>
      <c r="AI90" s="1048">
        <f t="shared" si="216"/>
        <v>0</v>
      </c>
      <c r="AJ90" s="1048">
        <f t="shared" si="216"/>
        <v>0</v>
      </c>
      <c r="AK90" s="1048">
        <f t="shared" si="216"/>
        <v>0</v>
      </c>
      <c r="AL90" s="1048">
        <f t="shared" si="216"/>
        <v>0</v>
      </c>
      <c r="AM90" s="1048">
        <f t="shared" si="216"/>
        <v>0</v>
      </c>
      <c r="AN90" s="1048">
        <f t="shared" si="216"/>
        <v>0</v>
      </c>
      <c r="AO90" s="1048">
        <f t="shared" si="216"/>
        <v>0</v>
      </c>
      <c r="AP90" s="1048">
        <f t="shared" si="216"/>
        <v>0</v>
      </c>
      <c r="AQ90" s="1048">
        <f t="shared" si="216"/>
        <v>0</v>
      </c>
      <c r="AR90" s="1048">
        <f t="shared" si="216"/>
        <v>0</v>
      </c>
      <c r="AS90" s="1048">
        <f t="shared" si="216"/>
        <v>0</v>
      </c>
      <c r="AT90" s="1048">
        <f t="shared" si="216"/>
        <v>0</v>
      </c>
      <c r="AU90" s="1048">
        <f t="shared" si="216"/>
        <v>0</v>
      </c>
      <c r="AV90" s="1048">
        <f t="shared" si="216"/>
        <v>0</v>
      </c>
      <c r="AW90" s="1048">
        <f t="shared" si="216"/>
        <v>0</v>
      </c>
      <c r="AX90" s="1048">
        <f t="shared" si="216"/>
        <v>0</v>
      </c>
      <c r="AY90" s="1048">
        <f t="shared" si="216"/>
        <v>0</v>
      </c>
      <c r="AZ90" s="1048">
        <f t="shared" si="216"/>
        <v>0</v>
      </c>
      <c r="BA90" s="1048">
        <f t="shared" si="216"/>
        <v>0</v>
      </c>
      <c r="BB90" s="1048">
        <f t="shared" si="216"/>
        <v>0</v>
      </c>
      <c r="BC90" s="1048">
        <f t="shared" si="216"/>
        <v>0</v>
      </c>
      <c r="BD90" s="1048">
        <f t="shared" si="216"/>
        <v>0</v>
      </c>
      <c r="BE90" s="1048">
        <f t="shared" si="216"/>
        <v>0</v>
      </c>
      <c r="BF90" s="1048">
        <f t="shared" si="216"/>
        <v>0</v>
      </c>
      <c r="BG90" s="1048">
        <f t="shared" si="216"/>
        <v>0</v>
      </c>
      <c r="BH90" s="1048">
        <f t="shared" si="216"/>
        <v>0</v>
      </c>
      <c r="BI90" s="1048">
        <f t="shared" si="216"/>
        <v>0</v>
      </c>
      <c r="BJ90" s="1048">
        <f t="shared" si="216"/>
        <v>0</v>
      </c>
      <c r="BK90" s="1048">
        <f t="shared" si="216"/>
        <v>0</v>
      </c>
      <c r="BL90" s="1048">
        <f t="shared" si="216"/>
        <v>0</v>
      </c>
      <c r="BM90" s="1048">
        <f t="shared" si="216"/>
        <v>0</v>
      </c>
      <c r="BN90" s="1048">
        <f t="shared" si="216"/>
        <v>0</v>
      </c>
      <c r="BO90" s="1048">
        <f t="shared" si="216"/>
        <v>0</v>
      </c>
      <c r="BP90" s="1048">
        <f t="shared" si="216"/>
        <v>0</v>
      </c>
      <c r="BQ90" s="1048">
        <f t="shared" si="216"/>
        <v>0</v>
      </c>
      <c r="BR90" s="1048">
        <f t="shared" si="216"/>
        <v>0</v>
      </c>
      <c r="BS90" s="1048">
        <f t="shared" si="216"/>
        <v>0</v>
      </c>
      <c r="BT90" s="1048">
        <f t="shared" ref="BT90:CC90" si="217">+SUM(BT91:BT95)</f>
        <v>0</v>
      </c>
      <c r="BU90" s="1048">
        <f t="shared" si="217"/>
        <v>0</v>
      </c>
      <c r="BV90" s="1048">
        <f t="shared" si="217"/>
        <v>100000000</v>
      </c>
      <c r="BW90" s="1048">
        <f t="shared" si="217"/>
        <v>99992000</v>
      </c>
      <c r="BX90" s="1048">
        <f t="shared" si="217"/>
        <v>99992000</v>
      </c>
      <c r="BY90" s="1048">
        <f t="shared" si="217"/>
        <v>99992000</v>
      </c>
      <c r="BZ90" s="1048">
        <f t="shared" si="217"/>
        <v>0</v>
      </c>
      <c r="CA90" s="1048">
        <f t="shared" si="217"/>
        <v>0</v>
      </c>
      <c r="CB90" s="1048">
        <f t="shared" si="217"/>
        <v>0</v>
      </c>
      <c r="CC90" s="1048">
        <f t="shared" si="217"/>
        <v>0</v>
      </c>
      <c r="CD90" s="690">
        <f t="shared" si="197"/>
        <v>500000000</v>
      </c>
      <c r="CE90" s="690">
        <f t="shared" ref="CE90" si="218">+K90+O90+S90+W90+AA90+AE90+AI90+AM90+AQ90+AU90+AY90+BC90+BG90+BK90+BO90+BS90+BW90+CA90</f>
        <v>499992000</v>
      </c>
      <c r="CF90" s="690">
        <f>+'Anexo 5.2. infor Gastos mesa 55'!AA80</f>
        <v>499992000</v>
      </c>
      <c r="CG90" s="690">
        <f>+'Anexo 5.2. infor Gastos mesa 55'!AB80</f>
        <v>499992000</v>
      </c>
      <c r="CH90" s="700"/>
      <c r="CI90" s="758">
        <f t="shared" si="196"/>
        <v>0</v>
      </c>
    </row>
    <row r="91" spans="1:87" ht="65.25" thickTop="1" thickBot="1" x14ac:dyDescent="0.3">
      <c r="A91" s="444"/>
      <c r="B91" s="444"/>
      <c r="C91" s="446"/>
      <c r="D91" s="446"/>
      <c r="E91" s="445"/>
      <c r="F91" s="445"/>
      <c r="G91" s="444"/>
      <c r="H91" s="686" t="s">
        <v>2404</v>
      </c>
      <c r="I91" s="1046">
        <v>100000000</v>
      </c>
      <c r="J91" s="687">
        <v>100000000</v>
      </c>
      <c r="K91" s="687">
        <v>100000000</v>
      </c>
      <c r="L91" s="687">
        <v>100000000</v>
      </c>
      <c r="M91" s="687">
        <v>100000000</v>
      </c>
      <c r="N91" s="687"/>
      <c r="O91" s="687"/>
      <c r="P91" s="687"/>
      <c r="Q91" s="687"/>
      <c r="R91" s="687"/>
      <c r="S91" s="687"/>
      <c r="T91" s="687"/>
      <c r="U91" s="687"/>
      <c r="V91" s="687"/>
      <c r="W91" s="687"/>
      <c r="X91" s="687"/>
      <c r="Y91" s="687"/>
      <c r="Z91" s="687"/>
      <c r="AA91" s="687"/>
      <c r="AB91" s="687"/>
      <c r="AC91" s="687"/>
      <c r="AD91" s="687"/>
      <c r="AE91" s="687"/>
      <c r="AF91" s="687"/>
      <c r="AG91" s="687"/>
      <c r="AH91" s="687"/>
      <c r="AI91" s="687"/>
      <c r="AJ91" s="687"/>
      <c r="AK91" s="687"/>
      <c r="AL91" s="687"/>
      <c r="AM91" s="687"/>
      <c r="AN91" s="687"/>
      <c r="AO91" s="687"/>
      <c r="AP91" s="687"/>
      <c r="AQ91" s="687"/>
      <c r="AR91" s="687"/>
      <c r="AS91" s="687"/>
      <c r="AT91" s="687"/>
      <c r="AU91" s="687"/>
      <c r="AV91" s="687"/>
      <c r="AW91" s="687"/>
      <c r="AX91" s="687"/>
      <c r="AY91" s="687"/>
      <c r="AZ91" s="687"/>
      <c r="BA91" s="687"/>
      <c r="BB91" s="687"/>
      <c r="BC91" s="687"/>
      <c r="BD91" s="687"/>
      <c r="BE91" s="687"/>
      <c r="BF91" s="687"/>
      <c r="BG91" s="687"/>
      <c r="BH91" s="687"/>
      <c r="BI91" s="687"/>
      <c r="BJ91" s="687"/>
      <c r="BK91" s="687"/>
      <c r="BL91" s="687"/>
      <c r="BM91" s="687"/>
      <c r="BN91" s="687"/>
      <c r="BO91" s="687"/>
      <c r="BP91" s="687"/>
      <c r="BQ91" s="687"/>
      <c r="BR91" s="687"/>
      <c r="BS91" s="687"/>
      <c r="BT91" s="687"/>
      <c r="BU91" s="687"/>
      <c r="BV91" s="687"/>
      <c r="BW91" s="687"/>
      <c r="BX91" s="687"/>
      <c r="BY91" s="687"/>
      <c r="BZ91" s="687"/>
      <c r="CA91" s="687"/>
      <c r="CB91" s="687"/>
      <c r="CC91" s="687"/>
      <c r="CD91" s="687">
        <f t="shared" si="197"/>
        <v>100000000</v>
      </c>
      <c r="CE91" s="687">
        <f t="shared" ref="CE91:CE95" si="219">+K91+O91+S91+W91+AA91+AE91+AI91+AM91+AQ91+AU91+AY91+BC91+BG91+BK91+BO91+BS91+BW91+CA91</f>
        <v>100000000</v>
      </c>
      <c r="CF91" s="687">
        <f t="shared" ref="CF91:CF95" si="220">+L91+P91+T91+X91+AB91+AF91+AJ91+AN91+AR91+AV91+AZ91+BD91+BH91+BL91+BP91+BT91+BX91+CB91</f>
        <v>100000000</v>
      </c>
      <c r="CG91" s="687">
        <f t="shared" ref="CG91:CG95" si="221">+M91+Q91+U91+Y91+AC91+AG91+AK91+AO91+AS91+AW91+BA91+BE91+BI91+BM91+BQ91+BU91+BY91+CC91</f>
        <v>100000000</v>
      </c>
      <c r="CH91" s="439"/>
      <c r="CI91" s="758">
        <f t="shared" si="196"/>
        <v>0</v>
      </c>
    </row>
    <row r="92" spans="1:87" ht="52.5" thickTop="1" thickBot="1" x14ac:dyDescent="0.3">
      <c r="A92" s="444"/>
      <c r="B92" s="444"/>
      <c r="C92" s="446"/>
      <c r="D92" s="446"/>
      <c r="E92" s="445"/>
      <c r="F92" s="445"/>
      <c r="G92" s="444"/>
      <c r="H92" s="686" t="s">
        <v>2407</v>
      </c>
      <c r="I92" s="1046">
        <v>100000000</v>
      </c>
      <c r="J92" s="687">
        <v>100000000</v>
      </c>
      <c r="K92" s="687">
        <v>100000000</v>
      </c>
      <c r="L92" s="687">
        <v>100000000</v>
      </c>
      <c r="M92" s="687">
        <v>100000000</v>
      </c>
      <c r="N92" s="687"/>
      <c r="O92" s="687"/>
      <c r="P92" s="687"/>
      <c r="Q92" s="687"/>
      <c r="R92" s="687"/>
      <c r="S92" s="687"/>
      <c r="T92" s="687"/>
      <c r="U92" s="687"/>
      <c r="V92" s="687"/>
      <c r="W92" s="687"/>
      <c r="X92" s="687"/>
      <c r="Y92" s="687"/>
      <c r="Z92" s="687"/>
      <c r="AA92" s="687"/>
      <c r="AB92" s="687"/>
      <c r="AC92" s="687"/>
      <c r="AD92" s="687"/>
      <c r="AE92" s="687"/>
      <c r="AF92" s="687"/>
      <c r="AG92" s="687"/>
      <c r="AH92" s="687"/>
      <c r="AI92" s="687"/>
      <c r="AJ92" s="687"/>
      <c r="AK92" s="687"/>
      <c r="AL92" s="687"/>
      <c r="AM92" s="687"/>
      <c r="AN92" s="687"/>
      <c r="AO92" s="687"/>
      <c r="AP92" s="687"/>
      <c r="AQ92" s="687"/>
      <c r="AR92" s="687"/>
      <c r="AS92" s="687"/>
      <c r="AT92" s="687"/>
      <c r="AU92" s="687"/>
      <c r="AV92" s="687"/>
      <c r="AW92" s="687"/>
      <c r="AX92" s="687"/>
      <c r="AY92" s="687"/>
      <c r="AZ92" s="687"/>
      <c r="BA92" s="687"/>
      <c r="BB92" s="687"/>
      <c r="BC92" s="687"/>
      <c r="BD92" s="687"/>
      <c r="BE92" s="687"/>
      <c r="BF92" s="687"/>
      <c r="BG92" s="687"/>
      <c r="BH92" s="687"/>
      <c r="BI92" s="687"/>
      <c r="BJ92" s="687"/>
      <c r="BK92" s="687"/>
      <c r="BL92" s="687"/>
      <c r="BM92" s="687"/>
      <c r="BN92" s="687"/>
      <c r="BO92" s="687"/>
      <c r="BP92" s="687"/>
      <c r="BQ92" s="687"/>
      <c r="BR92" s="687"/>
      <c r="BS92" s="687"/>
      <c r="BT92" s="687"/>
      <c r="BU92" s="687"/>
      <c r="BV92" s="687"/>
      <c r="BW92" s="687"/>
      <c r="BX92" s="687"/>
      <c r="BY92" s="687"/>
      <c r="BZ92" s="687"/>
      <c r="CA92" s="687"/>
      <c r="CB92" s="687"/>
      <c r="CC92" s="687"/>
      <c r="CD92" s="687">
        <f t="shared" si="197"/>
        <v>100000000</v>
      </c>
      <c r="CE92" s="687">
        <f t="shared" si="219"/>
        <v>100000000</v>
      </c>
      <c r="CF92" s="687">
        <f t="shared" si="220"/>
        <v>100000000</v>
      </c>
      <c r="CG92" s="687">
        <f t="shared" si="221"/>
        <v>100000000</v>
      </c>
      <c r="CH92" s="439"/>
      <c r="CI92" s="758">
        <f t="shared" si="196"/>
        <v>0</v>
      </c>
    </row>
    <row r="93" spans="1:87" ht="52.5" thickTop="1" thickBot="1" x14ac:dyDescent="0.3">
      <c r="A93" s="444"/>
      <c r="B93" s="444"/>
      <c r="C93" s="446"/>
      <c r="D93" s="446"/>
      <c r="E93" s="445"/>
      <c r="F93" s="445"/>
      <c r="G93" s="444"/>
      <c r="H93" s="686" t="s">
        <v>2409</v>
      </c>
      <c r="I93" s="1046">
        <v>100000000</v>
      </c>
      <c r="J93" s="687">
        <v>100000000</v>
      </c>
      <c r="K93" s="687">
        <v>100000000</v>
      </c>
      <c r="L93" s="687">
        <v>100000000</v>
      </c>
      <c r="M93" s="687">
        <v>100000000</v>
      </c>
      <c r="N93" s="687"/>
      <c r="O93" s="687"/>
      <c r="P93" s="687"/>
      <c r="Q93" s="687"/>
      <c r="R93" s="687"/>
      <c r="S93" s="687"/>
      <c r="T93" s="687"/>
      <c r="U93" s="687"/>
      <c r="V93" s="687"/>
      <c r="W93" s="687"/>
      <c r="X93" s="687"/>
      <c r="Y93" s="687"/>
      <c r="Z93" s="687"/>
      <c r="AA93" s="687"/>
      <c r="AB93" s="687"/>
      <c r="AC93" s="687"/>
      <c r="AD93" s="687"/>
      <c r="AE93" s="687"/>
      <c r="AF93" s="687"/>
      <c r="AG93" s="687"/>
      <c r="AH93" s="687"/>
      <c r="AI93" s="687"/>
      <c r="AJ93" s="687"/>
      <c r="AK93" s="687"/>
      <c r="AL93" s="687"/>
      <c r="AM93" s="687"/>
      <c r="AN93" s="687"/>
      <c r="AO93" s="687"/>
      <c r="AP93" s="687"/>
      <c r="AQ93" s="687"/>
      <c r="AR93" s="687"/>
      <c r="AS93" s="687"/>
      <c r="AT93" s="687"/>
      <c r="AU93" s="687"/>
      <c r="AV93" s="687"/>
      <c r="AW93" s="687"/>
      <c r="AX93" s="687"/>
      <c r="AY93" s="687"/>
      <c r="AZ93" s="687"/>
      <c r="BA93" s="687"/>
      <c r="BB93" s="687"/>
      <c r="BC93" s="687"/>
      <c r="BD93" s="687"/>
      <c r="BE93" s="687"/>
      <c r="BF93" s="687"/>
      <c r="BG93" s="687"/>
      <c r="BH93" s="687"/>
      <c r="BI93" s="687"/>
      <c r="BJ93" s="687"/>
      <c r="BK93" s="687"/>
      <c r="BL93" s="687"/>
      <c r="BM93" s="687"/>
      <c r="BN93" s="687"/>
      <c r="BO93" s="687"/>
      <c r="BP93" s="687"/>
      <c r="BQ93" s="687"/>
      <c r="BR93" s="687"/>
      <c r="BS93" s="687"/>
      <c r="BT93" s="687"/>
      <c r="BU93" s="687"/>
      <c r="BV93" s="687"/>
      <c r="BW93" s="687"/>
      <c r="BX93" s="687"/>
      <c r="BY93" s="687"/>
      <c r="BZ93" s="687"/>
      <c r="CA93" s="687"/>
      <c r="CB93" s="687"/>
      <c r="CC93" s="687"/>
      <c r="CD93" s="687">
        <f t="shared" si="197"/>
        <v>100000000</v>
      </c>
      <c r="CE93" s="687">
        <f t="shared" si="219"/>
        <v>100000000</v>
      </c>
      <c r="CF93" s="687">
        <f t="shared" si="220"/>
        <v>100000000</v>
      </c>
      <c r="CG93" s="687">
        <f t="shared" si="221"/>
        <v>100000000</v>
      </c>
      <c r="CH93" s="439"/>
      <c r="CI93" s="758">
        <f t="shared" si="196"/>
        <v>0</v>
      </c>
    </row>
    <row r="94" spans="1:87" ht="65.25" thickTop="1" thickBot="1" x14ac:dyDescent="0.3">
      <c r="A94" s="444"/>
      <c r="B94" s="444"/>
      <c r="C94" s="446"/>
      <c r="D94" s="446"/>
      <c r="E94" s="445"/>
      <c r="F94" s="445"/>
      <c r="G94" s="444"/>
      <c r="H94" s="686" t="s">
        <v>2410</v>
      </c>
      <c r="I94" s="1046">
        <v>100000000</v>
      </c>
      <c r="J94" s="687">
        <v>100000000</v>
      </c>
      <c r="K94" s="687">
        <v>100000000</v>
      </c>
      <c r="L94" s="687">
        <v>100000000</v>
      </c>
      <c r="M94" s="687">
        <v>100000000</v>
      </c>
      <c r="N94" s="687"/>
      <c r="O94" s="687"/>
      <c r="P94" s="687"/>
      <c r="Q94" s="687"/>
      <c r="R94" s="687"/>
      <c r="S94" s="687"/>
      <c r="T94" s="687"/>
      <c r="U94" s="687"/>
      <c r="V94" s="687"/>
      <c r="W94" s="687"/>
      <c r="X94" s="687"/>
      <c r="Y94" s="687"/>
      <c r="Z94" s="687"/>
      <c r="AA94" s="687"/>
      <c r="AB94" s="687"/>
      <c r="AC94" s="687"/>
      <c r="AD94" s="687"/>
      <c r="AE94" s="687"/>
      <c r="AF94" s="687"/>
      <c r="AG94" s="687"/>
      <c r="AH94" s="687"/>
      <c r="AI94" s="687"/>
      <c r="AJ94" s="687"/>
      <c r="AK94" s="687"/>
      <c r="AL94" s="687"/>
      <c r="AM94" s="687"/>
      <c r="AN94" s="687"/>
      <c r="AO94" s="687"/>
      <c r="AP94" s="687"/>
      <c r="AQ94" s="687"/>
      <c r="AR94" s="687"/>
      <c r="AS94" s="687"/>
      <c r="AT94" s="687"/>
      <c r="AU94" s="687"/>
      <c r="AV94" s="687"/>
      <c r="AW94" s="687"/>
      <c r="AX94" s="687"/>
      <c r="AY94" s="687"/>
      <c r="AZ94" s="687"/>
      <c r="BA94" s="687"/>
      <c r="BB94" s="687"/>
      <c r="BC94" s="687"/>
      <c r="BD94" s="687"/>
      <c r="BE94" s="687"/>
      <c r="BF94" s="687"/>
      <c r="BG94" s="687"/>
      <c r="BH94" s="687"/>
      <c r="BI94" s="687"/>
      <c r="BJ94" s="687"/>
      <c r="BK94" s="687"/>
      <c r="BL94" s="687"/>
      <c r="BM94" s="687"/>
      <c r="BN94" s="687"/>
      <c r="BO94" s="687"/>
      <c r="BP94" s="687"/>
      <c r="BQ94" s="687"/>
      <c r="BR94" s="687"/>
      <c r="BS94" s="687"/>
      <c r="BT94" s="687"/>
      <c r="BU94" s="687"/>
      <c r="BV94" s="687"/>
      <c r="BW94" s="687"/>
      <c r="BX94" s="687"/>
      <c r="BY94" s="687"/>
      <c r="BZ94" s="687"/>
      <c r="CA94" s="687"/>
      <c r="CB94" s="687"/>
      <c r="CC94" s="687"/>
      <c r="CD94" s="687">
        <f t="shared" si="197"/>
        <v>100000000</v>
      </c>
      <c r="CE94" s="687">
        <f t="shared" si="219"/>
        <v>100000000</v>
      </c>
      <c r="CF94" s="687">
        <f t="shared" si="220"/>
        <v>100000000</v>
      </c>
      <c r="CG94" s="687">
        <f t="shared" si="221"/>
        <v>100000000</v>
      </c>
      <c r="CH94" s="439"/>
      <c r="CI94" s="758">
        <f t="shared" si="196"/>
        <v>0</v>
      </c>
    </row>
    <row r="95" spans="1:87" ht="39.75" thickTop="1" thickBot="1" x14ac:dyDescent="0.3">
      <c r="A95" s="444"/>
      <c r="B95" s="444"/>
      <c r="C95" s="446"/>
      <c r="D95" s="446"/>
      <c r="E95" s="445"/>
      <c r="F95" s="445"/>
      <c r="G95" s="444"/>
      <c r="H95" s="686" t="s">
        <v>2412</v>
      </c>
      <c r="I95" s="1046">
        <v>100000000</v>
      </c>
      <c r="J95" s="687"/>
      <c r="K95" s="687"/>
      <c r="L95" s="687"/>
      <c r="M95" s="687"/>
      <c r="N95" s="687"/>
      <c r="O95" s="687"/>
      <c r="P95" s="687"/>
      <c r="Q95" s="687"/>
      <c r="R95" s="687"/>
      <c r="S95" s="687"/>
      <c r="T95" s="687"/>
      <c r="U95" s="687"/>
      <c r="V95" s="687"/>
      <c r="W95" s="687"/>
      <c r="X95" s="687"/>
      <c r="Y95" s="687"/>
      <c r="Z95" s="687"/>
      <c r="AA95" s="687"/>
      <c r="AB95" s="687"/>
      <c r="AC95" s="687"/>
      <c r="AD95" s="687"/>
      <c r="AE95" s="687"/>
      <c r="AF95" s="687"/>
      <c r="AG95" s="687"/>
      <c r="AH95" s="687"/>
      <c r="AI95" s="687"/>
      <c r="AJ95" s="687"/>
      <c r="AK95" s="687"/>
      <c r="AL95" s="687"/>
      <c r="AM95" s="687"/>
      <c r="AN95" s="687"/>
      <c r="AO95" s="687"/>
      <c r="AP95" s="687"/>
      <c r="AQ95" s="687"/>
      <c r="AR95" s="687"/>
      <c r="AS95" s="687"/>
      <c r="AT95" s="687"/>
      <c r="AU95" s="687"/>
      <c r="AV95" s="687"/>
      <c r="AW95" s="687"/>
      <c r="AX95" s="687"/>
      <c r="AY95" s="687"/>
      <c r="AZ95" s="687"/>
      <c r="BA95" s="687"/>
      <c r="BB95" s="687"/>
      <c r="BC95" s="687"/>
      <c r="BD95" s="687"/>
      <c r="BE95" s="687"/>
      <c r="BF95" s="687"/>
      <c r="BG95" s="687"/>
      <c r="BH95" s="687"/>
      <c r="BI95" s="687"/>
      <c r="BJ95" s="687"/>
      <c r="BK95" s="687"/>
      <c r="BL95" s="687"/>
      <c r="BM95" s="687"/>
      <c r="BN95" s="687"/>
      <c r="BO95" s="687"/>
      <c r="BP95" s="687"/>
      <c r="BQ95" s="687"/>
      <c r="BR95" s="687"/>
      <c r="BS95" s="687"/>
      <c r="BT95" s="687"/>
      <c r="BU95" s="687"/>
      <c r="BV95" s="687">
        <v>100000000</v>
      </c>
      <c r="BW95" s="687">
        <v>99992000</v>
      </c>
      <c r="BX95" s="687">
        <v>99992000</v>
      </c>
      <c r="BY95" s="687">
        <v>99992000</v>
      </c>
      <c r="BZ95" s="687"/>
      <c r="CA95" s="687"/>
      <c r="CB95" s="687"/>
      <c r="CC95" s="687"/>
      <c r="CD95" s="687">
        <f t="shared" si="197"/>
        <v>100000000</v>
      </c>
      <c r="CE95" s="687">
        <f t="shared" si="219"/>
        <v>99992000</v>
      </c>
      <c r="CF95" s="687">
        <f t="shared" si="220"/>
        <v>99992000</v>
      </c>
      <c r="CG95" s="687">
        <f t="shared" si="221"/>
        <v>99992000</v>
      </c>
      <c r="CH95" s="439"/>
      <c r="CI95" s="758">
        <f t="shared" si="196"/>
        <v>0</v>
      </c>
    </row>
    <row r="96" spans="1:87" ht="16.5" thickTop="1" thickBot="1" x14ac:dyDescent="0.3">
      <c r="A96" s="713"/>
      <c r="B96" s="713"/>
      <c r="C96" s="714"/>
      <c r="D96" s="714"/>
      <c r="E96" s="714"/>
      <c r="F96" s="714"/>
      <c r="G96" s="713"/>
      <c r="H96" s="715" t="s">
        <v>2172</v>
      </c>
      <c r="I96" s="1049">
        <f>+I97+I119+I124+I133+I149</f>
        <v>13062327858.959991</v>
      </c>
      <c r="J96" s="1049">
        <f t="shared" ref="J96:CA96" si="222">+J97+J119+J124+J133+J149</f>
        <v>5710594999.9599905</v>
      </c>
      <c r="K96" s="1049">
        <f t="shared" si="222"/>
        <v>5669739097.8400002</v>
      </c>
      <c r="L96" s="1049">
        <f t="shared" si="222"/>
        <v>4150604545.3299999</v>
      </c>
      <c r="M96" s="1049">
        <f t="shared" si="222"/>
        <v>3086420013</v>
      </c>
      <c r="N96" s="1049">
        <f t="shared" si="222"/>
        <v>1314200000</v>
      </c>
      <c r="O96" s="1049">
        <f t="shared" si="222"/>
        <v>1314200000</v>
      </c>
      <c r="P96" s="1049">
        <f t="shared" si="222"/>
        <v>1314200000</v>
      </c>
      <c r="Q96" s="1049">
        <f t="shared" si="222"/>
        <v>1314200000</v>
      </c>
      <c r="R96" s="1049">
        <f t="shared" si="222"/>
        <v>695000000</v>
      </c>
      <c r="S96" s="1049">
        <f t="shared" si="222"/>
        <v>695000000</v>
      </c>
      <c r="T96" s="1049">
        <f t="shared" si="222"/>
        <v>400503271.75</v>
      </c>
      <c r="U96" s="1049">
        <f t="shared" si="222"/>
        <v>202503271.75</v>
      </c>
      <c r="V96" s="1049">
        <f t="shared" si="222"/>
        <v>69300000</v>
      </c>
      <c r="W96" s="1049">
        <f t="shared" si="222"/>
        <v>69298965.289999962</v>
      </c>
      <c r="X96" s="1049">
        <f t="shared" si="222"/>
        <v>69298965.289999962</v>
      </c>
      <c r="Y96" s="1049">
        <f t="shared" si="222"/>
        <v>69298965.289999962</v>
      </c>
      <c r="Z96" s="1049">
        <f t="shared" si="222"/>
        <v>0</v>
      </c>
      <c r="AA96" s="1049">
        <f t="shared" si="222"/>
        <v>0</v>
      </c>
      <c r="AB96" s="1049">
        <f t="shared" si="222"/>
        <v>0</v>
      </c>
      <c r="AC96" s="1049">
        <f t="shared" si="222"/>
        <v>0</v>
      </c>
      <c r="AD96" s="1049">
        <f t="shared" si="222"/>
        <v>100000000</v>
      </c>
      <c r="AE96" s="1049">
        <f t="shared" si="222"/>
        <v>100000000</v>
      </c>
      <c r="AF96" s="1049">
        <f t="shared" si="222"/>
        <v>100000000</v>
      </c>
      <c r="AG96" s="1049">
        <f t="shared" si="222"/>
        <v>100000000</v>
      </c>
      <c r="AH96" s="1049">
        <f t="shared" si="222"/>
        <v>0</v>
      </c>
      <c r="AI96" s="1049">
        <f t="shared" si="222"/>
        <v>0</v>
      </c>
      <c r="AJ96" s="1049">
        <f t="shared" si="222"/>
        <v>0</v>
      </c>
      <c r="AK96" s="1049">
        <f t="shared" si="222"/>
        <v>0</v>
      </c>
      <c r="AL96" s="1049">
        <f t="shared" si="222"/>
        <v>900000</v>
      </c>
      <c r="AM96" s="1049">
        <f t="shared" si="222"/>
        <v>900000</v>
      </c>
      <c r="AN96" s="1049">
        <f t="shared" si="222"/>
        <v>900000</v>
      </c>
      <c r="AO96" s="1049">
        <f t="shared" si="222"/>
        <v>900000</v>
      </c>
      <c r="AP96" s="1049">
        <f t="shared" si="222"/>
        <v>0</v>
      </c>
      <c r="AQ96" s="1049">
        <f t="shared" si="222"/>
        <v>0</v>
      </c>
      <c r="AR96" s="1049">
        <f t="shared" si="222"/>
        <v>0</v>
      </c>
      <c r="AS96" s="1049">
        <f t="shared" si="222"/>
        <v>0</v>
      </c>
      <c r="AT96" s="1049">
        <f t="shared" si="222"/>
        <v>0</v>
      </c>
      <c r="AU96" s="1049">
        <f t="shared" si="222"/>
        <v>0</v>
      </c>
      <c r="AV96" s="1049">
        <f t="shared" si="222"/>
        <v>0</v>
      </c>
      <c r="AW96" s="1049">
        <f t="shared" si="222"/>
        <v>0</v>
      </c>
      <c r="AX96" s="1049">
        <f t="shared" si="222"/>
        <v>900000</v>
      </c>
      <c r="AY96" s="1049">
        <f t="shared" si="222"/>
        <v>900000</v>
      </c>
      <c r="AZ96" s="1049">
        <f t="shared" si="222"/>
        <v>900000</v>
      </c>
      <c r="BA96" s="1049">
        <f t="shared" si="222"/>
        <v>900000</v>
      </c>
      <c r="BB96" s="1049">
        <f t="shared" si="222"/>
        <v>1800000</v>
      </c>
      <c r="BC96" s="1049">
        <f t="shared" si="222"/>
        <v>1800000</v>
      </c>
      <c r="BD96" s="1049">
        <f t="shared" si="222"/>
        <v>1800000</v>
      </c>
      <c r="BE96" s="1049">
        <f t="shared" si="222"/>
        <v>1800000</v>
      </c>
      <c r="BF96" s="1049">
        <f t="shared" si="222"/>
        <v>181758000</v>
      </c>
      <c r="BG96" s="1049"/>
      <c r="BH96" s="1049"/>
      <c r="BI96" s="1049"/>
      <c r="BJ96" s="1049">
        <f t="shared" si="222"/>
        <v>0</v>
      </c>
      <c r="BK96" s="1049"/>
      <c r="BL96" s="1049"/>
      <c r="BM96" s="1049"/>
      <c r="BN96" s="1049">
        <f t="shared" si="222"/>
        <v>0</v>
      </c>
      <c r="BO96" s="1049">
        <f t="shared" si="222"/>
        <v>0</v>
      </c>
      <c r="BP96" s="1049">
        <f t="shared" si="222"/>
        <v>0</v>
      </c>
      <c r="BQ96" s="1049">
        <f t="shared" si="222"/>
        <v>0</v>
      </c>
      <c r="BR96" s="1049">
        <f t="shared" si="222"/>
        <v>3384074859</v>
      </c>
      <c r="BS96" s="1049">
        <f t="shared" si="222"/>
        <v>3383278643</v>
      </c>
      <c r="BT96" s="1049">
        <f t="shared" si="222"/>
        <v>3075488817.1700001</v>
      </c>
      <c r="BU96" s="1049">
        <f t="shared" si="222"/>
        <v>2763713092.1700001</v>
      </c>
      <c r="BV96" s="1049">
        <f t="shared" si="222"/>
        <v>1549000000</v>
      </c>
      <c r="BW96" s="1049">
        <f t="shared" si="222"/>
        <v>1535537916.8599997</v>
      </c>
      <c r="BX96" s="1049">
        <f t="shared" si="222"/>
        <v>1440099284.8199997</v>
      </c>
      <c r="BY96" s="1049">
        <f t="shared" si="222"/>
        <v>1431561415.1700001</v>
      </c>
      <c r="BZ96" s="1049">
        <f t="shared" si="222"/>
        <v>54800000</v>
      </c>
      <c r="CA96" s="756">
        <f t="shared" si="222"/>
        <v>54800000</v>
      </c>
      <c r="CB96" s="756">
        <f t="shared" ref="CB96:CC96" si="223">+CB97+CB119+CB124+CB133+CB149</f>
        <v>54800000</v>
      </c>
      <c r="CC96" s="756">
        <f t="shared" si="223"/>
        <v>54800000</v>
      </c>
      <c r="CD96" s="756">
        <f>+J96+N96+R96+V96+Z96+AD96+AH96+AL96+AP96+AT96+AX96+BB96+BF96+BJ96+BN96+BR96+BV96+BZ96</f>
        <v>13062327858.959991</v>
      </c>
      <c r="CE96" s="756">
        <f>+CE97+CE119+CE124+CE133+CE149</f>
        <v>13007212622.990002</v>
      </c>
      <c r="CF96" s="756">
        <f>+CF97+CF119+CF124+CF133+CF149</f>
        <v>10915180884</v>
      </c>
      <c r="CG96" s="756">
        <f>+CG97+CG119+CG124+CG133+CG149</f>
        <v>9207854757</v>
      </c>
      <c r="CH96" s="707"/>
      <c r="CI96" s="758">
        <f t="shared" si="196"/>
        <v>0</v>
      </c>
    </row>
    <row r="97" spans="1:87" ht="27" thickTop="1" thickBot="1" x14ac:dyDescent="0.3">
      <c r="A97" s="717"/>
      <c r="B97" s="717"/>
      <c r="C97" s="716"/>
      <c r="D97" s="716"/>
      <c r="E97" s="716"/>
      <c r="F97" s="716"/>
      <c r="G97" s="717"/>
      <c r="H97" s="708" t="s">
        <v>2173</v>
      </c>
      <c r="I97" s="1047">
        <f t="shared" ref="I97:BS97" si="224">+I98+I106+I112</f>
        <v>3180329000</v>
      </c>
      <c r="J97" s="1047">
        <f t="shared" si="224"/>
        <v>1653129000</v>
      </c>
      <c r="K97" s="1047">
        <f t="shared" si="224"/>
        <v>1652442924</v>
      </c>
      <c r="L97" s="1047">
        <f t="shared" si="224"/>
        <v>1506183540</v>
      </c>
      <c r="M97" s="1047">
        <f t="shared" si="224"/>
        <v>819756448</v>
      </c>
      <c r="N97" s="1047">
        <f t="shared" si="224"/>
        <v>14200000</v>
      </c>
      <c r="O97" s="1047">
        <f t="shared" si="224"/>
        <v>14200000</v>
      </c>
      <c r="P97" s="1047">
        <f t="shared" si="224"/>
        <v>14200000</v>
      </c>
      <c r="Q97" s="1047">
        <f t="shared" si="224"/>
        <v>14200000</v>
      </c>
      <c r="R97" s="1047">
        <f t="shared" si="224"/>
        <v>198000000</v>
      </c>
      <c r="S97" s="1047">
        <f t="shared" si="224"/>
        <v>198000000</v>
      </c>
      <c r="T97" s="1047">
        <f t="shared" si="224"/>
        <v>198000000</v>
      </c>
      <c r="U97" s="1047">
        <f t="shared" si="224"/>
        <v>0</v>
      </c>
      <c r="V97" s="1047">
        <f t="shared" si="224"/>
        <v>0</v>
      </c>
      <c r="W97" s="1047">
        <f t="shared" si="224"/>
        <v>0</v>
      </c>
      <c r="X97" s="1047">
        <f t="shared" si="224"/>
        <v>0</v>
      </c>
      <c r="Y97" s="1047">
        <f t="shared" si="224"/>
        <v>0</v>
      </c>
      <c r="Z97" s="1047">
        <f t="shared" si="224"/>
        <v>0</v>
      </c>
      <c r="AA97" s="1047">
        <f t="shared" si="224"/>
        <v>0</v>
      </c>
      <c r="AB97" s="1047">
        <f t="shared" si="224"/>
        <v>0</v>
      </c>
      <c r="AC97" s="1047">
        <f t="shared" si="224"/>
        <v>0</v>
      </c>
      <c r="AD97" s="1047">
        <f t="shared" si="224"/>
        <v>0</v>
      </c>
      <c r="AE97" s="1047">
        <f t="shared" si="224"/>
        <v>0</v>
      </c>
      <c r="AF97" s="1047">
        <f t="shared" si="224"/>
        <v>0</v>
      </c>
      <c r="AG97" s="1047">
        <f t="shared" si="224"/>
        <v>0</v>
      </c>
      <c r="AH97" s="1047">
        <f t="shared" si="224"/>
        <v>0</v>
      </c>
      <c r="AI97" s="1047">
        <f t="shared" si="224"/>
        <v>0</v>
      </c>
      <c r="AJ97" s="1047">
        <f t="shared" si="224"/>
        <v>0</v>
      </c>
      <c r="AK97" s="1047">
        <f t="shared" si="224"/>
        <v>0</v>
      </c>
      <c r="AL97" s="1047">
        <f t="shared" si="224"/>
        <v>0</v>
      </c>
      <c r="AM97" s="1047">
        <f t="shared" si="224"/>
        <v>0</v>
      </c>
      <c r="AN97" s="1047">
        <f t="shared" si="224"/>
        <v>0</v>
      </c>
      <c r="AO97" s="1047">
        <f t="shared" si="224"/>
        <v>0</v>
      </c>
      <c r="AP97" s="1047">
        <f t="shared" si="224"/>
        <v>0</v>
      </c>
      <c r="AQ97" s="1047">
        <f t="shared" si="224"/>
        <v>0</v>
      </c>
      <c r="AR97" s="1047">
        <f t="shared" si="224"/>
        <v>0</v>
      </c>
      <c r="AS97" s="1047">
        <f t="shared" si="224"/>
        <v>0</v>
      </c>
      <c r="AT97" s="1047">
        <f t="shared" si="224"/>
        <v>0</v>
      </c>
      <c r="AU97" s="1047">
        <f t="shared" si="224"/>
        <v>0</v>
      </c>
      <c r="AV97" s="1047">
        <f t="shared" si="224"/>
        <v>0</v>
      </c>
      <c r="AW97" s="1047">
        <f t="shared" si="224"/>
        <v>0</v>
      </c>
      <c r="AX97" s="1047">
        <f t="shared" si="224"/>
        <v>0</v>
      </c>
      <c r="AY97" s="1047">
        <f t="shared" si="224"/>
        <v>0</v>
      </c>
      <c r="AZ97" s="1047">
        <f t="shared" si="224"/>
        <v>0</v>
      </c>
      <c r="BA97" s="1047">
        <f t="shared" si="224"/>
        <v>0</v>
      </c>
      <c r="BB97" s="1047">
        <f t="shared" si="224"/>
        <v>0</v>
      </c>
      <c r="BC97" s="1047">
        <f t="shared" si="224"/>
        <v>0</v>
      </c>
      <c r="BD97" s="1047">
        <f t="shared" si="224"/>
        <v>0</v>
      </c>
      <c r="BE97" s="1047">
        <f t="shared" si="224"/>
        <v>0</v>
      </c>
      <c r="BF97" s="1047">
        <f t="shared" si="224"/>
        <v>0</v>
      </c>
      <c r="BG97" s="1047">
        <f t="shared" si="224"/>
        <v>0</v>
      </c>
      <c r="BH97" s="1047">
        <f t="shared" si="224"/>
        <v>0</v>
      </c>
      <c r="BI97" s="1047">
        <f t="shared" si="224"/>
        <v>0</v>
      </c>
      <c r="BJ97" s="1047">
        <f t="shared" si="224"/>
        <v>0</v>
      </c>
      <c r="BK97" s="1047">
        <f t="shared" si="224"/>
        <v>0</v>
      </c>
      <c r="BL97" s="1047">
        <f t="shared" si="224"/>
        <v>0</v>
      </c>
      <c r="BM97" s="1047">
        <f t="shared" si="224"/>
        <v>0</v>
      </c>
      <c r="BN97" s="1047">
        <f t="shared" si="224"/>
        <v>0</v>
      </c>
      <c r="BO97" s="1047">
        <f t="shared" si="224"/>
        <v>0</v>
      </c>
      <c r="BP97" s="1047">
        <f t="shared" si="224"/>
        <v>0</v>
      </c>
      <c r="BQ97" s="1047">
        <f t="shared" si="224"/>
        <v>0</v>
      </c>
      <c r="BR97" s="1047">
        <f t="shared" si="224"/>
        <v>876000000</v>
      </c>
      <c r="BS97" s="1047">
        <f t="shared" si="224"/>
        <v>875508016</v>
      </c>
      <c r="BT97" s="1047">
        <f t="shared" ref="BT97:CC97" si="225">+BT98+BT106+BT112</f>
        <v>875508016</v>
      </c>
      <c r="BU97" s="1047">
        <f t="shared" si="225"/>
        <v>732790576</v>
      </c>
      <c r="BV97" s="1047">
        <f t="shared" si="225"/>
        <v>439000000</v>
      </c>
      <c r="BW97" s="1047">
        <f t="shared" si="225"/>
        <v>439000000</v>
      </c>
      <c r="BX97" s="1047">
        <f t="shared" si="225"/>
        <v>439000000</v>
      </c>
      <c r="BY97" s="1047">
        <f t="shared" si="225"/>
        <v>439000000</v>
      </c>
      <c r="BZ97" s="1047">
        <f t="shared" si="225"/>
        <v>0</v>
      </c>
      <c r="CA97" s="1047">
        <f t="shared" si="225"/>
        <v>0</v>
      </c>
      <c r="CB97" s="1047">
        <f t="shared" si="225"/>
        <v>0</v>
      </c>
      <c r="CC97" s="1047">
        <f t="shared" si="225"/>
        <v>0</v>
      </c>
      <c r="CD97" s="752">
        <f t="shared" si="197"/>
        <v>3180329000</v>
      </c>
      <c r="CE97" s="752">
        <f>+CE98+CE106+CE112</f>
        <v>3179150940</v>
      </c>
      <c r="CF97" s="752">
        <f>+CF98+CF106+CF112</f>
        <v>3157719556</v>
      </c>
      <c r="CG97" s="752">
        <f>+CG98+CG106+CG112</f>
        <v>2005747024</v>
      </c>
      <c r="CH97" s="709"/>
      <c r="CI97" s="758">
        <f t="shared" si="196"/>
        <v>0</v>
      </c>
    </row>
    <row r="98" spans="1:87" ht="16.5" thickTop="1" thickBot="1" x14ac:dyDescent="0.3">
      <c r="A98" s="710"/>
      <c r="B98" s="710"/>
      <c r="C98" s="711"/>
      <c r="D98" s="711"/>
      <c r="E98" s="712"/>
      <c r="F98" s="712"/>
      <c r="G98" s="710"/>
      <c r="H98" s="689" t="s">
        <v>2143</v>
      </c>
      <c r="I98" s="1048">
        <f t="shared" ref="I98:BS98" si="226">+SUM(I99:I105)</f>
        <v>1349369000</v>
      </c>
      <c r="J98" s="1048">
        <f t="shared" si="226"/>
        <v>1210369000</v>
      </c>
      <c r="K98" s="1048">
        <f t="shared" si="226"/>
        <v>1209854924</v>
      </c>
      <c r="L98" s="1048">
        <f t="shared" si="226"/>
        <v>1188423540</v>
      </c>
      <c r="M98" s="1048">
        <f t="shared" si="226"/>
        <v>635196448</v>
      </c>
      <c r="N98" s="1048">
        <f t="shared" si="226"/>
        <v>0</v>
      </c>
      <c r="O98" s="1048">
        <f t="shared" si="226"/>
        <v>0</v>
      </c>
      <c r="P98" s="1048">
        <f t="shared" si="226"/>
        <v>0</v>
      </c>
      <c r="Q98" s="1048">
        <f t="shared" si="226"/>
        <v>0</v>
      </c>
      <c r="R98" s="1048">
        <f t="shared" si="226"/>
        <v>0</v>
      </c>
      <c r="S98" s="1048">
        <f t="shared" si="226"/>
        <v>0</v>
      </c>
      <c r="T98" s="1048">
        <f t="shared" si="226"/>
        <v>0</v>
      </c>
      <c r="U98" s="1048">
        <f t="shared" si="226"/>
        <v>0</v>
      </c>
      <c r="V98" s="1048">
        <f t="shared" si="226"/>
        <v>0</v>
      </c>
      <c r="W98" s="1048">
        <f t="shared" si="226"/>
        <v>0</v>
      </c>
      <c r="X98" s="1048">
        <f t="shared" si="226"/>
        <v>0</v>
      </c>
      <c r="Y98" s="1048">
        <f t="shared" si="226"/>
        <v>0</v>
      </c>
      <c r="Z98" s="1048">
        <f t="shared" si="226"/>
        <v>0</v>
      </c>
      <c r="AA98" s="1048">
        <f t="shared" si="226"/>
        <v>0</v>
      </c>
      <c r="AB98" s="1048">
        <f t="shared" si="226"/>
        <v>0</v>
      </c>
      <c r="AC98" s="1048">
        <f t="shared" si="226"/>
        <v>0</v>
      </c>
      <c r="AD98" s="1048">
        <f t="shared" si="226"/>
        <v>0</v>
      </c>
      <c r="AE98" s="1048">
        <f t="shared" si="226"/>
        <v>0</v>
      </c>
      <c r="AF98" s="1048">
        <f t="shared" si="226"/>
        <v>0</v>
      </c>
      <c r="AG98" s="1048">
        <f t="shared" si="226"/>
        <v>0</v>
      </c>
      <c r="AH98" s="1048">
        <f t="shared" si="226"/>
        <v>0</v>
      </c>
      <c r="AI98" s="1048">
        <f t="shared" si="226"/>
        <v>0</v>
      </c>
      <c r="AJ98" s="1048">
        <f t="shared" si="226"/>
        <v>0</v>
      </c>
      <c r="AK98" s="1048">
        <f t="shared" si="226"/>
        <v>0</v>
      </c>
      <c r="AL98" s="1048">
        <f t="shared" si="226"/>
        <v>0</v>
      </c>
      <c r="AM98" s="1048">
        <f t="shared" si="226"/>
        <v>0</v>
      </c>
      <c r="AN98" s="1048">
        <f t="shared" si="226"/>
        <v>0</v>
      </c>
      <c r="AO98" s="1048">
        <f t="shared" si="226"/>
        <v>0</v>
      </c>
      <c r="AP98" s="1048">
        <f t="shared" si="226"/>
        <v>0</v>
      </c>
      <c r="AQ98" s="1048">
        <f t="shared" si="226"/>
        <v>0</v>
      </c>
      <c r="AR98" s="1048">
        <f t="shared" si="226"/>
        <v>0</v>
      </c>
      <c r="AS98" s="1048">
        <f t="shared" si="226"/>
        <v>0</v>
      </c>
      <c r="AT98" s="1048">
        <f t="shared" si="226"/>
        <v>0</v>
      </c>
      <c r="AU98" s="1048">
        <f t="shared" si="226"/>
        <v>0</v>
      </c>
      <c r="AV98" s="1048">
        <f t="shared" si="226"/>
        <v>0</v>
      </c>
      <c r="AW98" s="1048">
        <f t="shared" si="226"/>
        <v>0</v>
      </c>
      <c r="AX98" s="1048">
        <f t="shared" si="226"/>
        <v>0</v>
      </c>
      <c r="AY98" s="1048">
        <f t="shared" si="226"/>
        <v>0</v>
      </c>
      <c r="AZ98" s="1048">
        <f t="shared" si="226"/>
        <v>0</v>
      </c>
      <c r="BA98" s="1048">
        <f t="shared" si="226"/>
        <v>0</v>
      </c>
      <c r="BB98" s="1048">
        <f t="shared" si="226"/>
        <v>0</v>
      </c>
      <c r="BC98" s="1048">
        <f t="shared" si="226"/>
        <v>0</v>
      </c>
      <c r="BD98" s="1048">
        <f t="shared" si="226"/>
        <v>0</v>
      </c>
      <c r="BE98" s="1048">
        <f t="shared" si="226"/>
        <v>0</v>
      </c>
      <c r="BF98" s="1048">
        <f t="shared" si="226"/>
        <v>0</v>
      </c>
      <c r="BG98" s="1048">
        <f t="shared" si="226"/>
        <v>0</v>
      </c>
      <c r="BH98" s="1048">
        <f t="shared" si="226"/>
        <v>0</v>
      </c>
      <c r="BI98" s="1048">
        <f t="shared" si="226"/>
        <v>0</v>
      </c>
      <c r="BJ98" s="1048">
        <f t="shared" si="226"/>
        <v>0</v>
      </c>
      <c r="BK98" s="1048">
        <f t="shared" si="226"/>
        <v>0</v>
      </c>
      <c r="BL98" s="1048">
        <f t="shared" si="226"/>
        <v>0</v>
      </c>
      <c r="BM98" s="1048">
        <f t="shared" si="226"/>
        <v>0</v>
      </c>
      <c r="BN98" s="1048">
        <f t="shared" si="226"/>
        <v>0</v>
      </c>
      <c r="BO98" s="1048">
        <f t="shared" si="226"/>
        <v>0</v>
      </c>
      <c r="BP98" s="1048">
        <f t="shared" si="226"/>
        <v>0</v>
      </c>
      <c r="BQ98" s="1048">
        <f t="shared" si="226"/>
        <v>0</v>
      </c>
      <c r="BR98" s="1048">
        <f t="shared" si="226"/>
        <v>0</v>
      </c>
      <c r="BS98" s="1048">
        <f t="shared" si="226"/>
        <v>0</v>
      </c>
      <c r="BT98" s="1048">
        <f t="shared" ref="BT98:CC98" si="227">+SUM(BT99:BT105)</f>
        <v>0</v>
      </c>
      <c r="BU98" s="1048">
        <f t="shared" si="227"/>
        <v>0</v>
      </c>
      <c r="BV98" s="1048">
        <f t="shared" si="227"/>
        <v>139000000</v>
      </c>
      <c r="BW98" s="1048">
        <f t="shared" si="227"/>
        <v>139000000</v>
      </c>
      <c r="BX98" s="1048">
        <f t="shared" si="227"/>
        <v>139000000</v>
      </c>
      <c r="BY98" s="1048">
        <f t="shared" si="227"/>
        <v>139000000</v>
      </c>
      <c r="BZ98" s="1048">
        <f t="shared" si="227"/>
        <v>0</v>
      </c>
      <c r="CA98" s="1048">
        <f t="shared" si="227"/>
        <v>0</v>
      </c>
      <c r="CB98" s="1048">
        <f t="shared" si="227"/>
        <v>0</v>
      </c>
      <c r="CC98" s="1048">
        <f t="shared" si="227"/>
        <v>0</v>
      </c>
      <c r="CD98" s="690">
        <f t="shared" si="197"/>
        <v>1349369000</v>
      </c>
      <c r="CE98" s="690">
        <f t="shared" ref="CE98:CE118" si="228">+K98+O98+S98+W98+AA98+AE98+AI98+AM98+AQ98+AU98+AY98+BC98+BG98+BK98+BO98+BS98+BW98+CA98</f>
        <v>1348854924</v>
      </c>
      <c r="CF98" s="690">
        <f>+'Anexo 5.2. infor Gastos mesa 55'!AA84</f>
        <v>1327423540</v>
      </c>
      <c r="CG98" s="690">
        <f>+'Anexo 5.2. infor Gastos mesa 55'!AB84</f>
        <v>774196448</v>
      </c>
      <c r="CH98" s="700"/>
      <c r="CI98" s="758">
        <f t="shared" si="196"/>
        <v>0</v>
      </c>
    </row>
    <row r="99" spans="1:87" ht="65.25" thickTop="1" thickBot="1" x14ac:dyDescent="0.3">
      <c r="A99" s="444"/>
      <c r="B99" s="444"/>
      <c r="C99" s="446"/>
      <c r="D99" s="446"/>
      <c r="E99" s="445"/>
      <c r="F99" s="445"/>
      <c r="G99" s="444"/>
      <c r="H99" s="686" t="s">
        <v>2624</v>
      </c>
      <c r="I99" s="1046">
        <v>100000000</v>
      </c>
      <c r="J99" s="687">
        <v>100000000</v>
      </c>
      <c r="K99" s="687">
        <v>100000000</v>
      </c>
      <c r="L99" s="687">
        <v>100000000</v>
      </c>
      <c r="M99" s="687">
        <v>0</v>
      </c>
      <c r="N99" s="687"/>
      <c r="O99" s="687"/>
      <c r="P99" s="687"/>
      <c r="Q99" s="687"/>
      <c r="R99" s="687"/>
      <c r="S99" s="687"/>
      <c r="T99" s="687"/>
      <c r="U99" s="687"/>
      <c r="V99" s="687"/>
      <c r="W99" s="687"/>
      <c r="X99" s="687"/>
      <c r="Y99" s="687"/>
      <c r="Z99" s="687"/>
      <c r="AA99" s="687"/>
      <c r="AB99" s="687"/>
      <c r="AC99" s="687"/>
      <c r="AD99" s="687"/>
      <c r="AE99" s="687"/>
      <c r="AF99" s="687"/>
      <c r="AG99" s="687"/>
      <c r="AH99" s="687"/>
      <c r="AI99" s="687"/>
      <c r="AJ99" s="687"/>
      <c r="AK99" s="687"/>
      <c r="AL99" s="687"/>
      <c r="AM99" s="687"/>
      <c r="AN99" s="687"/>
      <c r="AO99" s="687"/>
      <c r="AP99" s="687"/>
      <c r="AQ99" s="687"/>
      <c r="AR99" s="687"/>
      <c r="AS99" s="687"/>
      <c r="AT99" s="687"/>
      <c r="AU99" s="687"/>
      <c r="AV99" s="687"/>
      <c r="AW99" s="687"/>
      <c r="AX99" s="687"/>
      <c r="AY99" s="687"/>
      <c r="AZ99" s="687"/>
      <c r="BA99" s="687"/>
      <c r="BB99" s="687"/>
      <c r="BC99" s="687"/>
      <c r="BD99" s="687"/>
      <c r="BE99" s="687"/>
      <c r="BF99" s="687"/>
      <c r="BG99" s="687"/>
      <c r="BH99" s="687"/>
      <c r="BI99" s="687"/>
      <c r="BJ99" s="687"/>
      <c r="BK99" s="687"/>
      <c r="BL99" s="687"/>
      <c r="BM99" s="687"/>
      <c r="BN99" s="687"/>
      <c r="BO99" s="687"/>
      <c r="BP99" s="687"/>
      <c r="BQ99" s="687"/>
      <c r="BR99" s="687"/>
      <c r="BS99" s="687"/>
      <c r="BT99" s="687"/>
      <c r="BU99" s="687"/>
      <c r="BV99" s="687"/>
      <c r="BW99" s="687"/>
      <c r="BX99" s="687"/>
      <c r="BY99" s="687"/>
      <c r="BZ99" s="687"/>
      <c r="CA99" s="687"/>
      <c r="CB99" s="687"/>
      <c r="CC99" s="687"/>
      <c r="CD99" s="687">
        <f t="shared" si="197"/>
        <v>100000000</v>
      </c>
      <c r="CE99" s="687">
        <f t="shared" si="228"/>
        <v>100000000</v>
      </c>
      <c r="CF99" s="687">
        <v>100000000</v>
      </c>
      <c r="CG99" s="687"/>
      <c r="CH99" s="1042"/>
      <c r="CI99" s="758">
        <f t="shared" ref="CI99:CI130" si="229">+I99-CD99</f>
        <v>0</v>
      </c>
    </row>
    <row r="100" spans="1:87" ht="52.5" thickTop="1" thickBot="1" x14ac:dyDescent="0.3">
      <c r="A100" s="444"/>
      <c r="B100" s="444"/>
      <c r="C100" s="446"/>
      <c r="D100" s="446"/>
      <c r="E100" s="445"/>
      <c r="F100" s="445"/>
      <c r="G100" s="444"/>
      <c r="H100" s="686" t="s">
        <v>2415</v>
      </c>
      <c r="I100" s="1046">
        <v>369369000</v>
      </c>
      <c r="J100" s="687">
        <v>330369000</v>
      </c>
      <c r="K100" s="687">
        <v>330369000</v>
      </c>
      <c r="L100" s="687">
        <v>330369000</v>
      </c>
      <c r="M100" s="687">
        <v>34627832</v>
      </c>
      <c r="N100" s="687"/>
      <c r="O100" s="687"/>
      <c r="P100" s="687"/>
      <c r="Q100" s="687"/>
      <c r="R100" s="687"/>
      <c r="S100" s="687"/>
      <c r="T100" s="687"/>
      <c r="U100" s="687"/>
      <c r="V100" s="687"/>
      <c r="W100" s="687"/>
      <c r="X100" s="687"/>
      <c r="Y100" s="687"/>
      <c r="Z100" s="687"/>
      <c r="AA100" s="687"/>
      <c r="AB100" s="687"/>
      <c r="AC100" s="687"/>
      <c r="AD100" s="687"/>
      <c r="AE100" s="687"/>
      <c r="AF100" s="687"/>
      <c r="AG100" s="687"/>
      <c r="AH100" s="687"/>
      <c r="AI100" s="687"/>
      <c r="AJ100" s="687"/>
      <c r="AK100" s="687"/>
      <c r="AL100" s="687"/>
      <c r="AM100" s="687"/>
      <c r="AN100" s="687"/>
      <c r="AO100" s="687"/>
      <c r="AP100" s="687"/>
      <c r="AQ100" s="687"/>
      <c r="AR100" s="687"/>
      <c r="AS100" s="687"/>
      <c r="AT100" s="687"/>
      <c r="AU100" s="687"/>
      <c r="AV100" s="687"/>
      <c r="AW100" s="687"/>
      <c r="AX100" s="687"/>
      <c r="AY100" s="687"/>
      <c r="AZ100" s="687"/>
      <c r="BA100" s="687"/>
      <c r="BB100" s="687"/>
      <c r="BC100" s="687"/>
      <c r="BD100" s="687"/>
      <c r="BE100" s="687"/>
      <c r="BF100" s="687"/>
      <c r="BG100" s="687"/>
      <c r="BH100" s="687"/>
      <c r="BI100" s="687"/>
      <c r="BJ100" s="687"/>
      <c r="BK100" s="687"/>
      <c r="BL100" s="687"/>
      <c r="BM100" s="687"/>
      <c r="BN100" s="687"/>
      <c r="BO100" s="687"/>
      <c r="BP100" s="687"/>
      <c r="BQ100" s="687"/>
      <c r="BR100" s="687"/>
      <c r="BS100" s="687"/>
      <c r="BT100" s="687"/>
      <c r="BU100" s="687"/>
      <c r="BV100" s="687">
        <v>39000000</v>
      </c>
      <c r="BW100" s="687">
        <v>39000000</v>
      </c>
      <c r="BX100" s="687">
        <v>39000000</v>
      </c>
      <c r="BY100" s="687">
        <v>39000000</v>
      </c>
      <c r="BZ100" s="687"/>
      <c r="CA100" s="687"/>
      <c r="CB100" s="687"/>
      <c r="CC100" s="687"/>
      <c r="CD100" s="687">
        <f t="shared" si="197"/>
        <v>369369000</v>
      </c>
      <c r="CE100" s="687">
        <f t="shared" si="228"/>
        <v>369369000</v>
      </c>
      <c r="CF100" s="687">
        <v>369369000</v>
      </c>
      <c r="CG100" s="687">
        <v>73627832</v>
      </c>
      <c r="CH100" s="439"/>
      <c r="CI100" s="758">
        <f t="shared" si="229"/>
        <v>0</v>
      </c>
    </row>
    <row r="101" spans="1:87" ht="65.25" thickTop="1" thickBot="1" x14ac:dyDescent="0.3">
      <c r="A101" s="444"/>
      <c r="B101" s="444"/>
      <c r="C101" s="446"/>
      <c r="D101" s="446"/>
      <c r="E101" s="445"/>
      <c r="F101" s="445"/>
      <c r="G101" s="444"/>
      <c r="H101" s="686" t="s">
        <v>2416</v>
      </c>
      <c r="I101" s="1046">
        <v>161000000</v>
      </c>
      <c r="J101" s="687">
        <v>161000000</v>
      </c>
      <c r="K101" s="687">
        <v>161000000</v>
      </c>
      <c r="L101" s="687">
        <v>161000000</v>
      </c>
      <c r="M101" s="687">
        <v>161000000</v>
      </c>
      <c r="N101" s="687"/>
      <c r="O101" s="687"/>
      <c r="P101" s="687"/>
      <c r="Q101" s="687"/>
      <c r="R101" s="687"/>
      <c r="S101" s="687"/>
      <c r="T101" s="687"/>
      <c r="U101" s="687"/>
      <c r="V101" s="687"/>
      <c r="W101" s="687"/>
      <c r="X101" s="687"/>
      <c r="Y101" s="687"/>
      <c r="Z101" s="687"/>
      <c r="AA101" s="687"/>
      <c r="AB101" s="687"/>
      <c r="AC101" s="687"/>
      <c r="AD101" s="687"/>
      <c r="AE101" s="687"/>
      <c r="AF101" s="687"/>
      <c r="AG101" s="687"/>
      <c r="AH101" s="687"/>
      <c r="AI101" s="687"/>
      <c r="AJ101" s="687"/>
      <c r="AK101" s="687"/>
      <c r="AL101" s="687"/>
      <c r="AM101" s="687"/>
      <c r="AN101" s="687"/>
      <c r="AO101" s="687"/>
      <c r="AP101" s="687"/>
      <c r="AQ101" s="687"/>
      <c r="AR101" s="687"/>
      <c r="AS101" s="687"/>
      <c r="AT101" s="687"/>
      <c r="AU101" s="687"/>
      <c r="AV101" s="687"/>
      <c r="AW101" s="687"/>
      <c r="AX101" s="687"/>
      <c r="AY101" s="687"/>
      <c r="AZ101" s="687"/>
      <c r="BA101" s="687"/>
      <c r="BB101" s="687"/>
      <c r="BC101" s="687"/>
      <c r="BD101" s="687"/>
      <c r="BE101" s="687"/>
      <c r="BF101" s="687"/>
      <c r="BG101" s="687"/>
      <c r="BH101" s="687"/>
      <c r="BI101" s="687"/>
      <c r="BJ101" s="687"/>
      <c r="BK101" s="687"/>
      <c r="BL101" s="687"/>
      <c r="BM101" s="687"/>
      <c r="BN101" s="687"/>
      <c r="BO101" s="687"/>
      <c r="BP101" s="687"/>
      <c r="BQ101" s="687"/>
      <c r="BR101" s="687"/>
      <c r="BS101" s="687"/>
      <c r="BT101" s="687"/>
      <c r="BU101" s="687"/>
      <c r="BV101" s="687"/>
      <c r="BW101" s="687">
        <v>0</v>
      </c>
      <c r="BX101" s="687">
        <v>0</v>
      </c>
      <c r="BY101" s="687">
        <v>0</v>
      </c>
      <c r="BZ101" s="687"/>
      <c r="CA101" s="687"/>
      <c r="CB101" s="687"/>
      <c r="CC101" s="687"/>
      <c r="CD101" s="687">
        <f t="shared" si="197"/>
        <v>161000000</v>
      </c>
      <c r="CE101" s="687">
        <f t="shared" si="228"/>
        <v>161000000</v>
      </c>
      <c r="CF101" s="687">
        <v>161000000</v>
      </c>
      <c r="CG101" s="687">
        <v>161000000</v>
      </c>
      <c r="CH101" s="439"/>
      <c r="CI101" s="758">
        <f t="shared" si="229"/>
        <v>0</v>
      </c>
    </row>
    <row r="102" spans="1:87" ht="52.5" thickTop="1" thickBot="1" x14ac:dyDescent="0.3">
      <c r="A102" s="444"/>
      <c r="B102" s="444"/>
      <c r="C102" s="446"/>
      <c r="D102" s="446"/>
      <c r="E102" s="445"/>
      <c r="F102" s="445"/>
      <c r="G102" s="444"/>
      <c r="H102" s="686" t="s">
        <v>2418</v>
      </c>
      <c r="I102" s="1046">
        <v>400000000</v>
      </c>
      <c r="J102" s="687">
        <v>400000000</v>
      </c>
      <c r="K102" s="687">
        <v>400000000</v>
      </c>
      <c r="L102" s="687">
        <v>378568616</v>
      </c>
      <c r="M102" s="687">
        <v>378568616</v>
      </c>
      <c r="N102" s="687"/>
      <c r="O102" s="687"/>
      <c r="P102" s="687"/>
      <c r="Q102" s="687"/>
      <c r="R102" s="687"/>
      <c r="S102" s="687"/>
      <c r="T102" s="687"/>
      <c r="U102" s="687"/>
      <c r="V102" s="687"/>
      <c r="W102" s="687"/>
      <c r="X102" s="687"/>
      <c r="Y102" s="687"/>
      <c r="Z102" s="687"/>
      <c r="AA102" s="687"/>
      <c r="AB102" s="687"/>
      <c r="AC102" s="687"/>
      <c r="AD102" s="687"/>
      <c r="AE102" s="687"/>
      <c r="AF102" s="687"/>
      <c r="AG102" s="687"/>
      <c r="AH102" s="687"/>
      <c r="AI102" s="687"/>
      <c r="AJ102" s="687"/>
      <c r="AK102" s="687"/>
      <c r="AL102" s="687"/>
      <c r="AM102" s="687"/>
      <c r="AN102" s="687"/>
      <c r="AO102" s="687"/>
      <c r="AP102" s="687"/>
      <c r="AQ102" s="687"/>
      <c r="AR102" s="687"/>
      <c r="AS102" s="687"/>
      <c r="AT102" s="687"/>
      <c r="AU102" s="687"/>
      <c r="AV102" s="687"/>
      <c r="AW102" s="687"/>
      <c r="AX102" s="687"/>
      <c r="AY102" s="687"/>
      <c r="AZ102" s="687"/>
      <c r="BA102" s="687"/>
      <c r="BB102" s="687"/>
      <c r="BC102" s="687"/>
      <c r="BD102" s="687"/>
      <c r="BE102" s="687"/>
      <c r="BF102" s="687"/>
      <c r="BG102" s="687"/>
      <c r="BH102" s="687"/>
      <c r="BI102" s="687"/>
      <c r="BJ102" s="687"/>
      <c r="BK102" s="687"/>
      <c r="BL102" s="687"/>
      <c r="BM102" s="687"/>
      <c r="BN102" s="687"/>
      <c r="BO102" s="687"/>
      <c r="BP102" s="687"/>
      <c r="BQ102" s="687"/>
      <c r="BR102" s="687"/>
      <c r="BS102" s="687"/>
      <c r="BT102" s="687"/>
      <c r="BU102" s="687"/>
      <c r="BV102" s="687"/>
      <c r="BW102" s="687">
        <v>0</v>
      </c>
      <c r="BX102" s="687">
        <v>0</v>
      </c>
      <c r="BY102" s="687">
        <v>0</v>
      </c>
      <c r="BZ102" s="687"/>
      <c r="CA102" s="687"/>
      <c r="CB102" s="687"/>
      <c r="CC102" s="687"/>
      <c r="CD102" s="687">
        <f t="shared" si="197"/>
        <v>400000000</v>
      </c>
      <c r="CE102" s="687">
        <f t="shared" si="228"/>
        <v>400000000</v>
      </c>
      <c r="CF102" s="687">
        <f>372596448+5972168</f>
        <v>378568616</v>
      </c>
      <c r="CG102" s="687">
        <f>+CF102</f>
        <v>378568616</v>
      </c>
      <c r="CH102" s="439"/>
      <c r="CI102" s="758">
        <f t="shared" si="229"/>
        <v>0</v>
      </c>
    </row>
    <row r="103" spans="1:87" ht="52.5" thickTop="1" thickBot="1" x14ac:dyDescent="0.3">
      <c r="A103" s="444"/>
      <c r="B103" s="444"/>
      <c r="C103" s="446"/>
      <c r="D103" s="446"/>
      <c r="E103" s="445"/>
      <c r="F103" s="445"/>
      <c r="G103" s="444"/>
      <c r="H103" s="686" t="s">
        <v>2420</v>
      </c>
      <c r="I103" s="1046">
        <v>38000000</v>
      </c>
      <c r="J103" s="687">
        <v>38000000</v>
      </c>
      <c r="K103" s="687">
        <v>38000000</v>
      </c>
      <c r="L103" s="687">
        <v>38000000</v>
      </c>
      <c r="M103" s="687">
        <v>0</v>
      </c>
      <c r="N103" s="687"/>
      <c r="O103" s="687"/>
      <c r="P103" s="687"/>
      <c r="Q103" s="687"/>
      <c r="R103" s="687"/>
      <c r="S103" s="687"/>
      <c r="T103" s="687"/>
      <c r="U103" s="687"/>
      <c r="V103" s="687"/>
      <c r="W103" s="687"/>
      <c r="X103" s="687"/>
      <c r="Y103" s="687"/>
      <c r="Z103" s="687"/>
      <c r="AA103" s="687"/>
      <c r="AB103" s="687"/>
      <c r="AC103" s="687"/>
      <c r="AD103" s="687"/>
      <c r="AE103" s="687"/>
      <c r="AF103" s="687"/>
      <c r="AG103" s="687"/>
      <c r="AH103" s="687"/>
      <c r="AI103" s="687"/>
      <c r="AJ103" s="687"/>
      <c r="AK103" s="687"/>
      <c r="AL103" s="687"/>
      <c r="AM103" s="687"/>
      <c r="AN103" s="687"/>
      <c r="AO103" s="687"/>
      <c r="AP103" s="687"/>
      <c r="AQ103" s="687"/>
      <c r="AR103" s="687"/>
      <c r="AS103" s="687"/>
      <c r="AT103" s="687"/>
      <c r="AU103" s="687"/>
      <c r="AV103" s="687"/>
      <c r="AW103" s="687"/>
      <c r="AX103" s="687"/>
      <c r="AY103" s="687"/>
      <c r="AZ103" s="687"/>
      <c r="BA103" s="687"/>
      <c r="BB103" s="687"/>
      <c r="BC103" s="687"/>
      <c r="BD103" s="687"/>
      <c r="BE103" s="687"/>
      <c r="BF103" s="687"/>
      <c r="BG103" s="687"/>
      <c r="BH103" s="687"/>
      <c r="BI103" s="687"/>
      <c r="BJ103" s="687"/>
      <c r="BK103" s="687"/>
      <c r="BL103" s="687"/>
      <c r="BM103" s="687"/>
      <c r="BN103" s="687"/>
      <c r="BO103" s="687"/>
      <c r="BP103" s="687"/>
      <c r="BQ103" s="687"/>
      <c r="BR103" s="687"/>
      <c r="BS103" s="687"/>
      <c r="BT103" s="687"/>
      <c r="BU103" s="687"/>
      <c r="BV103" s="687"/>
      <c r="BW103" s="687">
        <v>0</v>
      </c>
      <c r="BX103" s="687">
        <v>0</v>
      </c>
      <c r="BY103" s="687">
        <v>0</v>
      </c>
      <c r="BZ103" s="687"/>
      <c r="CA103" s="687"/>
      <c r="CB103" s="687"/>
      <c r="CC103" s="687"/>
      <c r="CD103" s="687">
        <f t="shared" si="197"/>
        <v>38000000</v>
      </c>
      <c r="CE103" s="687">
        <f t="shared" si="228"/>
        <v>38000000</v>
      </c>
      <c r="CF103" s="687">
        <v>38000000</v>
      </c>
      <c r="CG103" s="687"/>
      <c r="CH103" s="439"/>
      <c r="CI103" s="758">
        <f t="shared" si="229"/>
        <v>0</v>
      </c>
    </row>
    <row r="104" spans="1:87" ht="39.75" thickTop="1" thickBot="1" x14ac:dyDescent="0.3">
      <c r="A104" s="444"/>
      <c r="B104" s="444"/>
      <c r="C104" s="446"/>
      <c r="D104" s="446"/>
      <c r="E104" s="445"/>
      <c r="F104" s="445"/>
      <c r="G104" s="444"/>
      <c r="H104" s="686" t="s">
        <v>2421</v>
      </c>
      <c r="I104" s="1046">
        <v>120000000</v>
      </c>
      <c r="J104" s="687">
        <v>120000000</v>
      </c>
      <c r="K104" s="687">
        <v>119485924</v>
      </c>
      <c r="L104" s="687">
        <v>119485924</v>
      </c>
      <c r="M104" s="687">
        <v>0</v>
      </c>
      <c r="N104" s="687"/>
      <c r="O104" s="687"/>
      <c r="P104" s="687"/>
      <c r="Q104" s="687"/>
      <c r="R104" s="687"/>
      <c r="S104" s="687"/>
      <c r="T104" s="687"/>
      <c r="U104" s="687"/>
      <c r="V104" s="687"/>
      <c r="W104" s="687"/>
      <c r="X104" s="687"/>
      <c r="Y104" s="687"/>
      <c r="Z104" s="687"/>
      <c r="AA104" s="687"/>
      <c r="AB104" s="687"/>
      <c r="AC104" s="687"/>
      <c r="AD104" s="687"/>
      <c r="AE104" s="687"/>
      <c r="AF104" s="687"/>
      <c r="AG104" s="687"/>
      <c r="AH104" s="687"/>
      <c r="AI104" s="687"/>
      <c r="AJ104" s="687"/>
      <c r="AK104" s="687"/>
      <c r="AL104" s="687"/>
      <c r="AM104" s="687"/>
      <c r="AN104" s="687"/>
      <c r="AO104" s="687"/>
      <c r="AP104" s="687"/>
      <c r="AQ104" s="687"/>
      <c r="AR104" s="687"/>
      <c r="AS104" s="687"/>
      <c r="AT104" s="687"/>
      <c r="AU104" s="687"/>
      <c r="AV104" s="687"/>
      <c r="AW104" s="687"/>
      <c r="AX104" s="687"/>
      <c r="AY104" s="687"/>
      <c r="AZ104" s="687"/>
      <c r="BA104" s="687"/>
      <c r="BB104" s="687"/>
      <c r="BC104" s="687"/>
      <c r="BD104" s="687"/>
      <c r="BE104" s="687"/>
      <c r="BF104" s="687"/>
      <c r="BG104" s="687"/>
      <c r="BH104" s="687"/>
      <c r="BI104" s="687"/>
      <c r="BJ104" s="687"/>
      <c r="BK104" s="687"/>
      <c r="BL104" s="687"/>
      <c r="BM104" s="687"/>
      <c r="BN104" s="687"/>
      <c r="BO104" s="687"/>
      <c r="BP104" s="687"/>
      <c r="BQ104" s="687"/>
      <c r="BR104" s="687"/>
      <c r="BS104" s="687"/>
      <c r="BT104" s="687"/>
      <c r="BU104" s="687"/>
      <c r="BV104" s="687"/>
      <c r="BW104" s="687">
        <v>0</v>
      </c>
      <c r="BX104" s="687">
        <v>0</v>
      </c>
      <c r="BY104" s="687">
        <v>0</v>
      </c>
      <c r="BZ104" s="687"/>
      <c r="CA104" s="687"/>
      <c r="CB104" s="687"/>
      <c r="CC104" s="687"/>
      <c r="CD104" s="687">
        <f t="shared" si="197"/>
        <v>120000000</v>
      </c>
      <c r="CE104" s="687">
        <f t="shared" si="228"/>
        <v>119485924</v>
      </c>
      <c r="CF104" s="687">
        <v>119485924</v>
      </c>
      <c r="CG104" s="687"/>
      <c r="CH104" s="439"/>
      <c r="CI104" s="758">
        <f t="shared" si="229"/>
        <v>0</v>
      </c>
    </row>
    <row r="105" spans="1:87" ht="39.75" thickTop="1" thickBot="1" x14ac:dyDescent="0.3">
      <c r="A105" s="444"/>
      <c r="B105" s="444"/>
      <c r="C105" s="446"/>
      <c r="D105" s="446"/>
      <c r="E105" s="445"/>
      <c r="F105" s="445"/>
      <c r="G105" s="444"/>
      <c r="H105" s="686" t="s">
        <v>2423</v>
      </c>
      <c r="I105" s="1046">
        <v>161000000</v>
      </c>
      <c r="J105" s="687">
        <v>61000000</v>
      </c>
      <c r="K105" s="687">
        <v>61000000</v>
      </c>
      <c r="L105" s="687">
        <v>61000000</v>
      </c>
      <c r="M105" s="687">
        <v>61000000</v>
      </c>
      <c r="N105" s="687"/>
      <c r="O105" s="687"/>
      <c r="P105" s="687"/>
      <c r="Q105" s="687"/>
      <c r="R105" s="687"/>
      <c r="S105" s="687"/>
      <c r="T105" s="687"/>
      <c r="U105" s="687"/>
      <c r="V105" s="687"/>
      <c r="W105" s="687"/>
      <c r="X105" s="687"/>
      <c r="Y105" s="687"/>
      <c r="Z105" s="687"/>
      <c r="AA105" s="687"/>
      <c r="AB105" s="687"/>
      <c r="AC105" s="687"/>
      <c r="AD105" s="687"/>
      <c r="AE105" s="687"/>
      <c r="AF105" s="687"/>
      <c r="AG105" s="687"/>
      <c r="AH105" s="687"/>
      <c r="AI105" s="687"/>
      <c r="AJ105" s="687"/>
      <c r="AK105" s="687"/>
      <c r="AL105" s="687"/>
      <c r="AM105" s="687"/>
      <c r="AN105" s="687"/>
      <c r="AO105" s="687"/>
      <c r="AP105" s="687"/>
      <c r="AQ105" s="687"/>
      <c r="AR105" s="687"/>
      <c r="AS105" s="687"/>
      <c r="AT105" s="687"/>
      <c r="AU105" s="687"/>
      <c r="AV105" s="687"/>
      <c r="AW105" s="687"/>
      <c r="AX105" s="687"/>
      <c r="AY105" s="687"/>
      <c r="AZ105" s="687"/>
      <c r="BA105" s="687"/>
      <c r="BB105" s="687"/>
      <c r="BC105" s="687"/>
      <c r="BD105" s="687"/>
      <c r="BE105" s="687"/>
      <c r="BF105" s="687"/>
      <c r="BG105" s="687"/>
      <c r="BH105" s="687"/>
      <c r="BI105" s="687"/>
      <c r="BJ105" s="687"/>
      <c r="BK105" s="687"/>
      <c r="BL105" s="687"/>
      <c r="BM105" s="687"/>
      <c r="BN105" s="687"/>
      <c r="BO105" s="687"/>
      <c r="BP105" s="687"/>
      <c r="BQ105" s="687"/>
      <c r="BR105" s="687"/>
      <c r="BS105" s="687"/>
      <c r="BT105" s="687"/>
      <c r="BU105" s="687"/>
      <c r="BV105" s="687">
        <v>100000000</v>
      </c>
      <c r="BW105" s="687">
        <v>100000000</v>
      </c>
      <c r="BX105" s="687">
        <v>100000000</v>
      </c>
      <c r="BY105" s="687">
        <v>100000000</v>
      </c>
      <c r="BZ105" s="687"/>
      <c r="CA105" s="687"/>
      <c r="CB105" s="687"/>
      <c r="CC105" s="687"/>
      <c r="CD105" s="687">
        <f t="shared" si="197"/>
        <v>161000000</v>
      </c>
      <c r="CE105" s="687">
        <f t="shared" si="228"/>
        <v>161000000</v>
      </c>
      <c r="CF105" s="687">
        <v>161000000</v>
      </c>
      <c r="CG105" s="687">
        <v>161000000</v>
      </c>
      <c r="CH105" s="439"/>
      <c r="CI105" s="758">
        <f t="shared" si="229"/>
        <v>0</v>
      </c>
    </row>
    <row r="106" spans="1:87" ht="16.5" thickTop="1" thickBot="1" x14ac:dyDescent="0.3">
      <c r="A106" s="710"/>
      <c r="B106" s="710"/>
      <c r="C106" s="711"/>
      <c r="D106" s="711"/>
      <c r="E106" s="712"/>
      <c r="F106" s="712"/>
      <c r="G106" s="710"/>
      <c r="H106" s="689" t="s">
        <v>2144</v>
      </c>
      <c r="I106" s="1048">
        <f t="shared" ref="I106:BS106" si="230">+SUM(I107:I111)</f>
        <v>459000000</v>
      </c>
      <c r="J106" s="1048">
        <f t="shared" si="230"/>
        <v>409000000</v>
      </c>
      <c r="K106" s="1048">
        <f t="shared" si="230"/>
        <v>408828000</v>
      </c>
      <c r="L106" s="1048">
        <f t="shared" si="230"/>
        <v>284000000</v>
      </c>
      <c r="M106" s="1048">
        <f t="shared" si="230"/>
        <v>150800000</v>
      </c>
      <c r="N106" s="1048">
        <f t="shared" si="230"/>
        <v>0</v>
      </c>
      <c r="O106" s="1048">
        <f t="shared" si="230"/>
        <v>0</v>
      </c>
      <c r="P106" s="1048">
        <f t="shared" si="230"/>
        <v>0</v>
      </c>
      <c r="Q106" s="1048">
        <f t="shared" si="230"/>
        <v>0</v>
      </c>
      <c r="R106" s="1048">
        <f t="shared" si="230"/>
        <v>0</v>
      </c>
      <c r="S106" s="1048">
        <f t="shared" si="230"/>
        <v>0</v>
      </c>
      <c r="T106" s="1048">
        <f t="shared" si="230"/>
        <v>0</v>
      </c>
      <c r="U106" s="1048">
        <f t="shared" si="230"/>
        <v>0</v>
      </c>
      <c r="V106" s="1048">
        <f t="shared" si="230"/>
        <v>0</v>
      </c>
      <c r="W106" s="1048">
        <f t="shared" si="230"/>
        <v>0</v>
      </c>
      <c r="X106" s="1048">
        <f t="shared" si="230"/>
        <v>0</v>
      </c>
      <c r="Y106" s="1048">
        <f t="shared" si="230"/>
        <v>0</v>
      </c>
      <c r="Z106" s="1048">
        <f t="shared" si="230"/>
        <v>0</v>
      </c>
      <c r="AA106" s="1048">
        <f t="shared" si="230"/>
        <v>0</v>
      </c>
      <c r="AB106" s="1048">
        <f t="shared" si="230"/>
        <v>0</v>
      </c>
      <c r="AC106" s="1048">
        <f t="shared" si="230"/>
        <v>0</v>
      </c>
      <c r="AD106" s="1048">
        <f t="shared" si="230"/>
        <v>0</v>
      </c>
      <c r="AE106" s="1048">
        <f t="shared" si="230"/>
        <v>0</v>
      </c>
      <c r="AF106" s="1048">
        <f t="shared" si="230"/>
        <v>0</v>
      </c>
      <c r="AG106" s="1048">
        <f t="shared" si="230"/>
        <v>0</v>
      </c>
      <c r="AH106" s="1048">
        <f t="shared" si="230"/>
        <v>0</v>
      </c>
      <c r="AI106" s="1048">
        <f t="shared" si="230"/>
        <v>0</v>
      </c>
      <c r="AJ106" s="1048">
        <f t="shared" si="230"/>
        <v>0</v>
      </c>
      <c r="AK106" s="1048">
        <f t="shared" si="230"/>
        <v>0</v>
      </c>
      <c r="AL106" s="1048">
        <f t="shared" si="230"/>
        <v>0</v>
      </c>
      <c r="AM106" s="1048">
        <f t="shared" si="230"/>
        <v>0</v>
      </c>
      <c r="AN106" s="1048">
        <f t="shared" si="230"/>
        <v>0</v>
      </c>
      <c r="AO106" s="1048">
        <f t="shared" si="230"/>
        <v>0</v>
      </c>
      <c r="AP106" s="1048">
        <f t="shared" si="230"/>
        <v>0</v>
      </c>
      <c r="AQ106" s="1048">
        <f t="shared" si="230"/>
        <v>0</v>
      </c>
      <c r="AR106" s="1048">
        <f t="shared" si="230"/>
        <v>0</v>
      </c>
      <c r="AS106" s="1048">
        <f t="shared" si="230"/>
        <v>0</v>
      </c>
      <c r="AT106" s="1048">
        <f t="shared" si="230"/>
        <v>0</v>
      </c>
      <c r="AU106" s="1048">
        <f t="shared" si="230"/>
        <v>0</v>
      </c>
      <c r="AV106" s="1048">
        <f t="shared" si="230"/>
        <v>0</v>
      </c>
      <c r="AW106" s="1048">
        <f t="shared" si="230"/>
        <v>0</v>
      </c>
      <c r="AX106" s="1048">
        <f t="shared" si="230"/>
        <v>0</v>
      </c>
      <c r="AY106" s="1048">
        <f t="shared" si="230"/>
        <v>0</v>
      </c>
      <c r="AZ106" s="1048">
        <f t="shared" si="230"/>
        <v>0</v>
      </c>
      <c r="BA106" s="1048">
        <f t="shared" si="230"/>
        <v>0</v>
      </c>
      <c r="BB106" s="1048">
        <f t="shared" si="230"/>
        <v>0</v>
      </c>
      <c r="BC106" s="1048">
        <f t="shared" si="230"/>
        <v>0</v>
      </c>
      <c r="BD106" s="1048">
        <f t="shared" si="230"/>
        <v>0</v>
      </c>
      <c r="BE106" s="1048">
        <f t="shared" si="230"/>
        <v>0</v>
      </c>
      <c r="BF106" s="1048">
        <f t="shared" si="230"/>
        <v>0</v>
      </c>
      <c r="BG106" s="1048">
        <f t="shared" si="230"/>
        <v>0</v>
      </c>
      <c r="BH106" s="1048">
        <f t="shared" si="230"/>
        <v>0</v>
      </c>
      <c r="BI106" s="1048">
        <f t="shared" si="230"/>
        <v>0</v>
      </c>
      <c r="BJ106" s="1048">
        <f t="shared" si="230"/>
        <v>0</v>
      </c>
      <c r="BK106" s="1048">
        <f t="shared" si="230"/>
        <v>0</v>
      </c>
      <c r="BL106" s="1048">
        <f t="shared" si="230"/>
        <v>0</v>
      </c>
      <c r="BM106" s="1048">
        <f t="shared" si="230"/>
        <v>0</v>
      </c>
      <c r="BN106" s="1048">
        <f t="shared" si="230"/>
        <v>0</v>
      </c>
      <c r="BO106" s="1048">
        <f t="shared" si="230"/>
        <v>0</v>
      </c>
      <c r="BP106" s="1048">
        <f t="shared" si="230"/>
        <v>0</v>
      </c>
      <c r="BQ106" s="1048">
        <f t="shared" si="230"/>
        <v>0</v>
      </c>
      <c r="BR106" s="1048">
        <f t="shared" si="230"/>
        <v>0</v>
      </c>
      <c r="BS106" s="1048">
        <f t="shared" si="230"/>
        <v>0</v>
      </c>
      <c r="BT106" s="1048">
        <f t="shared" ref="BT106:CC106" si="231">+SUM(BT107:BT111)</f>
        <v>0</v>
      </c>
      <c r="BU106" s="1048">
        <f t="shared" si="231"/>
        <v>0</v>
      </c>
      <c r="BV106" s="1048">
        <f t="shared" si="231"/>
        <v>50000000</v>
      </c>
      <c r="BW106" s="1048">
        <f t="shared" si="231"/>
        <v>50000000</v>
      </c>
      <c r="BX106" s="1048">
        <f t="shared" si="231"/>
        <v>50000000</v>
      </c>
      <c r="BY106" s="1048">
        <f t="shared" si="231"/>
        <v>50000000</v>
      </c>
      <c r="BZ106" s="1048">
        <f t="shared" si="231"/>
        <v>0</v>
      </c>
      <c r="CA106" s="1048">
        <f t="shared" si="231"/>
        <v>0</v>
      </c>
      <c r="CB106" s="1048">
        <f t="shared" si="231"/>
        <v>0</v>
      </c>
      <c r="CC106" s="1048">
        <f t="shared" si="231"/>
        <v>0</v>
      </c>
      <c r="CD106" s="691">
        <f t="shared" si="197"/>
        <v>459000000</v>
      </c>
      <c r="CE106" s="691">
        <f t="shared" si="228"/>
        <v>458828000</v>
      </c>
      <c r="CF106" s="690">
        <f>+'Anexo 5.2. infor Gastos mesa 55'!AA86</f>
        <v>458828000</v>
      </c>
      <c r="CG106" s="690">
        <f>+'Anexo 5.2. infor Gastos mesa 55'!AB86</f>
        <v>200800000</v>
      </c>
      <c r="CH106" s="700"/>
      <c r="CI106" s="758">
        <f t="shared" si="229"/>
        <v>0</v>
      </c>
    </row>
    <row r="107" spans="1:87" ht="39.75" thickTop="1" thickBot="1" x14ac:dyDescent="0.3">
      <c r="A107" s="444"/>
      <c r="B107" s="444"/>
      <c r="C107" s="446"/>
      <c r="D107" s="446"/>
      <c r="E107" s="445"/>
      <c r="F107" s="445"/>
      <c r="G107" s="444"/>
      <c r="H107" s="686" t="s">
        <v>2425</v>
      </c>
      <c r="I107" s="1046">
        <v>133500000</v>
      </c>
      <c r="J107" s="687">
        <v>133500000</v>
      </c>
      <c r="K107" s="687">
        <v>133500000</v>
      </c>
      <c r="L107" s="687">
        <v>133500000</v>
      </c>
      <c r="M107" s="687">
        <v>66900000</v>
      </c>
      <c r="N107" s="687"/>
      <c r="O107" s="687"/>
      <c r="P107" s="687"/>
      <c r="Q107" s="687"/>
      <c r="R107" s="687"/>
      <c r="S107" s="687"/>
      <c r="T107" s="687"/>
      <c r="U107" s="687"/>
      <c r="V107" s="687"/>
      <c r="W107" s="687"/>
      <c r="X107" s="687"/>
      <c r="Y107" s="687"/>
      <c r="Z107" s="687"/>
      <c r="AA107" s="687"/>
      <c r="AB107" s="687"/>
      <c r="AC107" s="687"/>
      <c r="AD107" s="687"/>
      <c r="AE107" s="687"/>
      <c r="AF107" s="687"/>
      <c r="AG107" s="687"/>
      <c r="AH107" s="687"/>
      <c r="AI107" s="687"/>
      <c r="AJ107" s="687"/>
      <c r="AK107" s="687"/>
      <c r="AL107" s="687"/>
      <c r="AM107" s="687"/>
      <c r="AN107" s="687"/>
      <c r="AO107" s="687"/>
      <c r="AP107" s="687"/>
      <c r="AQ107" s="687"/>
      <c r="AR107" s="687"/>
      <c r="AS107" s="687"/>
      <c r="AT107" s="687"/>
      <c r="AU107" s="687"/>
      <c r="AV107" s="687"/>
      <c r="AW107" s="687"/>
      <c r="AX107" s="687"/>
      <c r="AY107" s="687"/>
      <c r="AZ107" s="687"/>
      <c r="BA107" s="687"/>
      <c r="BB107" s="687"/>
      <c r="BC107" s="687"/>
      <c r="BD107" s="687"/>
      <c r="BE107" s="687"/>
      <c r="BF107" s="687"/>
      <c r="BG107" s="687"/>
      <c r="BH107" s="687"/>
      <c r="BI107" s="687"/>
      <c r="BJ107" s="687"/>
      <c r="BK107" s="687"/>
      <c r="BL107" s="687"/>
      <c r="BM107" s="687"/>
      <c r="BN107" s="687"/>
      <c r="BO107" s="687"/>
      <c r="BP107" s="687"/>
      <c r="BQ107" s="687"/>
      <c r="BR107" s="687"/>
      <c r="BS107" s="687"/>
      <c r="BT107" s="687"/>
      <c r="BU107" s="687"/>
      <c r="BV107" s="687"/>
      <c r="BW107" s="687"/>
      <c r="BX107" s="687"/>
      <c r="BY107" s="687"/>
      <c r="BZ107" s="687"/>
      <c r="CA107" s="687"/>
      <c r="CB107" s="687"/>
      <c r="CC107" s="687"/>
      <c r="CD107" s="688">
        <f t="shared" si="197"/>
        <v>133500000</v>
      </c>
      <c r="CE107" s="688">
        <f t="shared" si="228"/>
        <v>133500000</v>
      </c>
      <c r="CF107" s="687">
        <f t="shared" ref="CF107:CF111" si="232">+L107+P107+T107+X107+AB107+AF107+AJ107+AN107+AR107+AV107+AZ107+BD107+BH107+BL107+BP107+BT107+BX107+CB107</f>
        <v>133500000</v>
      </c>
      <c r="CG107" s="687">
        <v>66900000</v>
      </c>
      <c r="CH107" s="439"/>
      <c r="CI107" s="758">
        <f t="shared" si="229"/>
        <v>0</v>
      </c>
    </row>
    <row r="108" spans="1:87" ht="52.5" thickTop="1" thickBot="1" x14ac:dyDescent="0.3">
      <c r="A108" s="444"/>
      <c r="B108" s="444"/>
      <c r="C108" s="446"/>
      <c r="D108" s="446"/>
      <c r="E108" s="445"/>
      <c r="F108" s="445"/>
      <c r="G108" s="444"/>
      <c r="H108" s="686" t="s">
        <v>2427</v>
      </c>
      <c r="I108" s="1046">
        <v>133500000</v>
      </c>
      <c r="J108" s="687">
        <v>133500000</v>
      </c>
      <c r="K108" s="687">
        <v>133500000</v>
      </c>
      <c r="L108" s="687">
        <v>133500000</v>
      </c>
      <c r="M108" s="687">
        <v>66900000</v>
      </c>
      <c r="N108" s="687"/>
      <c r="O108" s="687"/>
      <c r="P108" s="687"/>
      <c r="Q108" s="687"/>
      <c r="R108" s="687"/>
      <c r="S108" s="687"/>
      <c r="T108" s="687"/>
      <c r="U108" s="687"/>
      <c r="V108" s="687"/>
      <c r="W108" s="687"/>
      <c r="X108" s="687"/>
      <c r="Y108" s="687"/>
      <c r="Z108" s="687"/>
      <c r="AA108" s="687"/>
      <c r="AB108" s="687"/>
      <c r="AC108" s="687"/>
      <c r="AD108" s="687"/>
      <c r="AE108" s="687"/>
      <c r="AF108" s="687"/>
      <c r="AG108" s="687"/>
      <c r="AH108" s="687"/>
      <c r="AI108" s="687"/>
      <c r="AJ108" s="687"/>
      <c r="AK108" s="687"/>
      <c r="AL108" s="687"/>
      <c r="AM108" s="687"/>
      <c r="AN108" s="687"/>
      <c r="AO108" s="687"/>
      <c r="AP108" s="687"/>
      <c r="AQ108" s="687"/>
      <c r="AR108" s="687"/>
      <c r="AS108" s="687"/>
      <c r="AT108" s="687"/>
      <c r="AU108" s="687"/>
      <c r="AV108" s="687"/>
      <c r="AW108" s="687"/>
      <c r="AX108" s="687"/>
      <c r="AY108" s="687"/>
      <c r="AZ108" s="687"/>
      <c r="BA108" s="687"/>
      <c r="BB108" s="687"/>
      <c r="BC108" s="687"/>
      <c r="BD108" s="687"/>
      <c r="BE108" s="687"/>
      <c r="BF108" s="687"/>
      <c r="BG108" s="687"/>
      <c r="BH108" s="687"/>
      <c r="BI108" s="687"/>
      <c r="BJ108" s="687"/>
      <c r="BK108" s="687"/>
      <c r="BL108" s="687"/>
      <c r="BM108" s="687"/>
      <c r="BN108" s="687"/>
      <c r="BO108" s="687"/>
      <c r="BP108" s="687"/>
      <c r="BQ108" s="687"/>
      <c r="BR108" s="687"/>
      <c r="BS108" s="687"/>
      <c r="BT108" s="687"/>
      <c r="BU108" s="687"/>
      <c r="BV108" s="687"/>
      <c r="BW108" s="687"/>
      <c r="BX108" s="687"/>
      <c r="BY108" s="687"/>
      <c r="BZ108" s="687"/>
      <c r="CA108" s="687"/>
      <c r="CB108" s="687"/>
      <c r="CC108" s="687"/>
      <c r="CD108" s="688">
        <f t="shared" si="197"/>
        <v>133500000</v>
      </c>
      <c r="CE108" s="688">
        <f t="shared" si="228"/>
        <v>133500000</v>
      </c>
      <c r="CF108" s="687">
        <f t="shared" si="232"/>
        <v>133500000</v>
      </c>
      <c r="CG108" s="687">
        <v>66900000</v>
      </c>
      <c r="CH108" s="439"/>
      <c r="CI108" s="758">
        <f t="shared" si="229"/>
        <v>0</v>
      </c>
    </row>
    <row r="109" spans="1:87" ht="39.75" thickTop="1" thickBot="1" x14ac:dyDescent="0.3">
      <c r="A109" s="444"/>
      <c r="B109" s="444"/>
      <c r="C109" s="446"/>
      <c r="D109" s="446"/>
      <c r="E109" s="445"/>
      <c r="F109" s="445"/>
      <c r="G109" s="444"/>
      <c r="H109" s="686" t="s">
        <v>2428</v>
      </c>
      <c r="I109" s="1046">
        <v>0</v>
      </c>
      <c r="J109" s="687"/>
      <c r="K109" s="687">
        <v>0</v>
      </c>
      <c r="L109" s="687">
        <v>0</v>
      </c>
      <c r="M109" s="687">
        <v>0</v>
      </c>
      <c r="N109" s="687"/>
      <c r="O109" s="687"/>
      <c r="P109" s="687"/>
      <c r="Q109" s="687"/>
      <c r="R109" s="687"/>
      <c r="S109" s="687"/>
      <c r="T109" s="687"/>
      <c r="U109" s="687"/>
      <c r="V109" s="687"/>
      <c r="W109" s="687"/>
      <c r="X109" s="687"/>
      <c r="Y109" s="687"/>
      <c r="Z109" s="687"/>
      <c r="AA109" s="687"/>
      <c r="AB109" s="687"/>
      <c r="AC109" s="687"/>
      <c r="AD109" s="687"/>
      <c r="AE109" s="687"/>
      <c r="AF109" s="687"/>
      <c r="AG109" s="687"/>
      <c r="AH109" s="687"/>
      <c r="AI109" s="687"/>
      <c r="AJ109" s="687"/>
      <c r="AK109" s="687"/>
      <c r="AL109" s="687"/>
      <c r="AM109" s="687"/>
      <c r="AN109" s="687"/>
      <c r="AO109" s="687"/>
      <c r="AP109" s="687"/>
      <c r="AQ109" s="687"/>
      <c r="AR109" s="687"/>
      <c r="AS109" s="687"/>
      <c r="AT109" s="687"/>
      <c r="AU109" s="687"/>
      <c r="AV109" s="687"/>
      <c r="AW109" s="687"/>
      <c r="AX109" s="687"/>
      <c r="AY109" s="687"/>
      <c r="AZ109" s="687"/>
      <c r="BA109" s="687"/>
      <c r="BB109" s="687"/>
      <c r="BC109" s="687"/>
      <c r="BD109" s="687"/>
      <c r="BE109" s="687"/>
      <c r="BF109" s="687"/>
      <c r="BG109" s="687"/>
      <c r="BH109" s="687"/>
      <c r="BI109" s="687"/>
      <c r="BJ109" s="687"/>
      <c r="BK109" s="687"/>
      <c r="BL109" s="687"/>
      <c r="BM109" s="687"/>
      <c r="BN109" s="687"/>
      <c r="BO109" s="687"/>
      <c r="BP109" s="687"/>
      <c r="BQ109" s="687"/>
      <c r="BR109" s="687"/>
      <c r="BS109" s="687"/>
      <c r="BT109" s="687"/>
      <c r="BU109" s="687"/>
      <c r="BV109" s="687"/>
      <c r="BW109" s="687"/>
      <c r="BX109" s="687"/>
      <c r="BY109" s="687"/>
      <c r="BZ109" s="687"/>
      <c r="CA109" s="687"/>
      <c r="CB109" s="687"/>
      <c r="CC109" s="687"/>
      <c r="CD109" s="688">
        <f t="shared" si="197"/>
        <v>0</v>
      </c>
      <c r="CE109" s="688">
        <f t="shared" si="228"/>
        <v>0</v>
      </c>
      <c r="CF109" s="687">
        <f t="shared" si="232"/>
        <v>0</v>
      </c>
      <c r="CG109" s="687">
        <f t="shared" ref="CG109:CG110" si="233">+M109+Q109+U109+Y109+AC109+AG109+AK109+AO109+AS109+AW109+BA109+BE109+BI109+BM109+BQ109+BU109+BY109+CC109</f>
        <v>0</v>
      </c>
      <c r="CH109" s="439"/>
      <c r="CI109" s="758">
        <f t="shared" si="229"/>
        <v>0</v>
      </c>
    </row>
    <row r="110" spans="1:87" ht="39.75" thickTop="1" thickBot="1" x14ac:dyDescent="0.3">
      <c r="A110" s="444"/>
      <c r="B110" s="444"/>
      <c r="C110" s="446"/>
      <c r="D110" s="446"/>
      <c r="E110" s="445"/>
      <c r="F110" s="445"/>
      <c r="G110" s="444"/>
      <c r="H110" s="686" t="s">
        <v>2429</v>
      </c>
      <c r="I110" s="1046">
        <v>0</v>
      </c>
      <c r="J110" s="687"/>
      <c r="K110" s="687">
        <v>0</v>
      </c>
      <c r="L110" s="687">
        <v>0</v>
      </c>
      <c r="M110" s="687">
        <v>0</v>
      </c>
      <c r="N110" s="687"/>
      <c r="O110" s="687"/>
      <c r="P110" s="687"/>
      <c r="Q110" s="687"/>
      <c r="R110" s="687"/>
      <c r="S110" s="687"/>
      <c r="T110" s="687"/>
      <c r="U110" s="687"/>
      <c r="V110" s="687"/>
      <c r="W110" s="687"/>
      <c r="X110" s="687"/>
      <c r="Y110" s="687"/>
      <c r="Z110" s="687"/>
      <c r="AA110" s="687"/>
      <c r="AB110" s="687"/>
      <c r="AC110" s="687"/>
      <c r="AD110" s="687"/>
      <c r="AE110" s="687"/>
      <c r="AF110" s="687"/>
      <c r="AG110" s="687"/>
      <c r="AH110" s="687"/>
      <c r="AI110" s="687"/>
      <c r="AJ110" s="687"/>
      <c r="AK110" s="687"/>
      <c r="AL110" s="687"/>
      <c r="AM110" s="687"/>
      <c r="AN110" s="687"/>
      <c r="AO110" s="687"/>
      <c r="AP110" s="687"/>
      <c r="AQ110" s="687"/>
      <c r="AR110" s="687"/>
      <c r="AS110" s="687"/>
      <c r="AT110" s="687"/>
      <c r="AU110" s="687"/>
      <c r="AV110" s="687"/>
      <c r="AW110" s="687"/>
      <c r="AX110" s="687"/>
      <c r="AY110" s="687"/>
      <c r="AZ110" s="687"/>
      <c r="BA110" s="687"/>
      <c r="BB110" s="687"/>
      <c r="BC110" s="687"/>
      <c r="BD110" s="687"/>
      <c r="BE110" s="687"/>
      <c r="BF110" s="687"/>
      <c r="BG110" s="687"/>
      <c r="BH110" s="687"/>
      <c r="BI110" s="687"/>
      <c r="BJ110" s="687"/>
      <c r="BK110" s="687"/>
      <c r="BL110" s="687"/>
      <c r="BM110" s="687"/>
      <c r="BN110" s="687"/>
      <c r="BO110" s="687"/>
      <c r="BP110" s="687"/>
      <c r="BQ110" s="687"/>
      <c r="BR110" s="687"/>
      <c r="BS110" s="687">
        <v>0</v>
      </c>
      <c r="BT110" s="687">
        <v>0</v>
      </c>
      <c r="BU110" s="687">
        <v>0</v>
      </c>
      <c r="BV110" s="687"/>
      <c r="BW110" s="687"/>
      <c r="BX110" s="687"/>
      <c r="BY110" s="687"/>
      <c r="BZ110" s="687"/>
      <c r="CA110" s="687"/>
      <c r="CB110" s="687"/>
      <c r="CC110" s="687"/>
      <c r="CD110" s="688">
        <f t="shared" si="197"/>
        <v>0</v>
      </c>
      <c r="CE110" s="688">
        <f t="shared" si="228"/>
        <v>0</v>
      </c>
      <c r="CF110" s="687">
        <f t="shared" si="232"/>
        <v>0</v>
      </c>
      <c r="CG110" s="687">
        <f t="shared" si="233"/>
        <v>0</v>
      </c>
      <c r="CH110" s="439"/>
      <c r="CI110" s="758">
        <f t="shared" si="229"/>
        <v>0</v>
      </c>
    </row>
    <row r="111" spans="1:87" ht="52.5" thickTop="1" thickBot="1" x14ac:dyDescent="0.3">
      <c r="A111" s="444"/>
      <c r="B111" s="444"/>
      <c r="C111" s="446"/>
      <c r="D111" s="446"/>
      <c r="E111" s="445"/>
      <c r="F111" s="445"/>
      <c r="G111" s="444"/>
      <c r="H111" s="686" t="s">
        <v>2430</v>
      </c>
      <c r="I111" s="1046">
        <v>192000000</v>
      </c>
      <c r="J111" s="687">
        <v>142000000</v>
      </c>
      <c r="K111" s="687">
        <v>141828000</v>
      </c>
      <c r="L111" s="687">
        <v>17000000</v>
      </c>
      <c r="M111" s="687">
        <v>17000000</v>
      </c>
      <c r="N111" s="687"/>
      <c r="O111" s="687"/>
      <c r="P111" s="687"/>
      <c r="Q111" s="687"/>
      <c r="R111" s="687"/>
      <c r="S111" s="687"/>
      <c r="T111" s="687"/>
      <c r="U111" s="687"/>
      <c r="V111" s="687"/>
      <c r="W111" s="687"/>
      <c r="X111" s="687"/>
      <c r="Y111" s="687"/>
      <c r="Z111" s="687"/>
      <c r="AA111" s="687"/>
      <c r="AB111" s="687"/>
      <c r="AC111" s="687"/>
      <c r="AD111" s="687"/>
      <c r="AE111" s="687"/>
      <c r="AF111" s="687"/>
      <c r="AG111" s="687"/>
      <c r="AH111" s="687"/>
      <c r="AI111" s="687"/>
      <c r="AJ111" s="687"/>
      <c r="AK111" s="687"/>
      <c r="AL111" s="687"/>
      <c r="AM111" s="687"/>
      <c r="AN111" s="687"/>
      <c r="AO111" s="687"/>
      <c r="AP111" s="687"/>
      <c r="AQ111" s="687"/>
      <c r="AR111" s="687"/>
      <c r="AS111" s="687"/>
      <c r="AT111" s="687"/>
      <c r="AU111" s="687"/>
      <c r="AV111" s="687"/>
      <c r="AW111" s="687"/>
      <c r="AX111" s="687"/>
      <c r="AY111" s="687"/>
      <c r="AZ111" s="687"/>
      <c r="BA111" s="687"/>
      <c r="BB111" s="687"/>
      <c r="BC111" s="687"/>
      <c r="BD111" s="687"/>
      <c r="BE111" s="687"/>
      <c r="BF111" s="687"/>
      <c r="BG111" s="687"/>
      <c r="BH111" s="687"/>
      <c r="BI111" s="687"/>
      <c r="BJ111" s="687"/>
      <c r="BK111" s="687"/>
      <c r="BL111" s="687"/>
      <c r="BM111" s="687"/>
      <c r="BN111" s="687"/>
      <c r="BO111" s="687"/>
      <c r="BP111" s="687"/>
      <c r="BQ111" s="687"/>
      <c r="BR111" s="687"/>
      <c r="BS111" s="687"/>
      <c r="BT111" s="687"/>
      <c r="BU111" s="687"/>
      <c r="BV111" s="687">
        <v>50000000</v>
      </c>
      <c r="BW111" s="687">
        <v>50000000</v>
      </c>
      <c r="BX111" s="687">
        <v>50000000</v>
      </c>
      <c r="BY111" s="687">
        <v>50000000</v>
      </c>
      <c r="BZ111" s="687"/>
      <c r="CA111" s="687"/>
      <c r="CB111" s="687"/>
      <c r="CC111" s="687"/>
      <c r="CD111" s="688">
        <f t="shared" si="197"/>
        <v>192000000</v>
      </c>
      <c r="CE111" s="688">
        <f t="shared" si="228"/>
        <v>191828000</v>
      </c>
      <c r="CF111" s="687">
        <f t="shared" si="232"/>
        <v>67000000</v>
      </c>
      <c r="CG111" s="687">
        <v>67000000</v>
      </c>
      <c r="CH111" s="439"/>
      <c r="CI111" s="758">
        <f t="shared" si="229"/>
        <v>0</v>
      </c>
    </row>
    <row r="112" spans="1:87" ht="16.5" thickTop="1" thickBot="1" x14ac:dyDescent="0.3">
      <c r="A112" s="710"/>
      <c r="B112" s="710"/>
      <c r="C112" s="711"/>
      <c r="D112" s="711"/>
      <c r="E112" s="712"/>
      <c r="F112" s="712"/>
      <c r="G112" s="710"/>
      <c r="H112" s="689" t="s">
        <v>2145</v>
      </c>
      <c r="I112" s="1048">
        <f t="shared" ref="I112:BS112" si="234">+SUM(I113:I118)</f>
        <v>1371960000</v>
      </c>
      <c r="J112" s="1048">
        <f t="shared" si="234"/>
        <v>33760000</v>
      </c>
      <c r="K112" s="1048">
        <f t="shared" si="234"/>
        <v>33760000</v>
      </c>
      <c r="L112" s="1048">
        <f t="shared" si="234"/>
        <v>33760000</v>
      </c>
      <c r="M112" s="1048">
        <f t="shared" si="234"/>
        <v>33760000</v>
      </c>
      <c r="N112" s="1048">
        <f t="shared" si="234"/>
        <v>14200000</v>
      </c>
      <c r="O112" s="1048">
        <f t="shared" si="234"/>
        <v>14200000</v>
      </c>
      <c r="P112" s="1048">
        <f t="shared" si="234"/>
        <v>14200000</v>
      </c>
      <c r="Q112" s="1048">
        <f t="shared" si="234"/>
        <v>14200000</v>
      </c>
      <c r="R112" s="1048">
        <f t="shared" si="234"/>
        <v>198000000</v>
      </c>
      <c r="S112" s="1048">
        <f t="shared" si="234"/>
        <v>198000000</v>
      </c>
      <c r="T112" s="1048">
        <f t="shared" si="234"/>
        <v>198000000</v>
      </c>
      <c r="U112" s="1048">
        <f t="shared" si="234"/>
        <v>0</v>
      </c>
      <c r="V112" s="1048">
        <f t="shared" si="234"/>
        <v>0</v>
      </c>
      <c r="W112" s="1048">
        <f t="shared" si="234"/>
        <v>0</v>
      </c>
      <c r="X112" s="1048">
        <f t="shared" si="234"/>
        <v>0</v>
      </c>
      <c r="Y112" s="1048">
        <f t="shared" si="234"/>
        <v>0</v>
      </c>
      <c r="Z112" s="1048">
        <f t="shared" si="234"/>
        <v>0</v>
      </c>
      <c r="AA112" s="1048">
        <f t="shared" si="234"/>
        <v>0</v>
      </c>
      <c r="AB112" s="1048">
        <f t="shared" si="234"/>
        <v>0</v>
      </c>
      <c r="AC112" s="1048">
        <f t="shared" si="234"/>
        <v>0</v>
      </c>
      <c r="AD112" s="1048">
        <f t="shared" si="234"/>
        <v>0</v>
      </c>
      <c r="AE112" s="1048">
        <f t="shared" si="234"/>
        <v>0</v>
      </c>
      <c r="AF112" s="1048">
        <f t="shared" si="234"/>
        <v>0</v>
      </c>
      <c r="AG112" s="1048">
        <f t="shared" si="234"/>
        <v>0</v>
      </c>
      <c r="AH112" s="1048">
        <f t="shared" si="234"/>
        <v>0</v>
      </c>
      <c r="AI112" s="1048">
        <f t="shared" si="234"/>
        <v>0</v>
      </c>
      <c r="AJ112" s="1048">
        <f t="shared" si="234"/>
        <v>0</v>
      </c>
      <c r="AK112" s="1048">
        <f t="shared" si="234"/>
        <v>0</v>
      </c>
      <c r="AL112" s="1048">
        <f t="shared" si="234"/>
        <v>0</v>
      </c>
      <c r="AM112" s="1048">
        <f t="shared" si="234"/>
        <v>0</v>
      </c>
      <c r="AN112" s="1048">
        <f t="shared" si="234"/>
        <v>0</v>
      </c>
      <c r="AO112" s="1048">
        <f t="shared" si="234"/>
        <v>0</v>
      </c>
      <c r="AP112" s="1048">
        <f t="shared" si="234"/>
        <v>0</v>
      </c>
      <c r="AQ112" s="1048">
        <f t="shared" si="234"/>
        <v>0</v>
      </c>
      <c r="AR112" s="1048">
        <f t="shared" si="234"/>
        <v>0</v>
      </c>
      <c r="AS112" s="1048">
        <f t="shared" si="234"/>
        <v>0</v>
      </c>
      <c r="AT112" s="1048">
        <f t="shared" si="234"/>
        <v>0</v>
      </c>
      <c r="AU112" s="1048">
        <f t="shared" si="234"/>
        <v>0</v>
      </c>
      <c r="AV112" s="1048">
        <f t="shared" si="234"/>
        <v>0</v>
      </c>
      <c r="AW112" s="1048">
        <f t="shared" si="234"/>
        <v>0</v>
      </c>
      <c r="AX112" s="1048">
        <f t="shared" si="234"/>
        <v>0</v>
      </c>
      <c r="AY112" s="1048">
        <f t="shared" si="234"/>
        <v>0</v>
      </c>
      <c r="AZ112" s="1048">
        <f t="shared" si="234"/>
        <v>0</v>
      </c>
      <c r="BA112" s="1048">
        <f t="shared" si="234"/>
        <v>0</v>
      </c>
      <c r="BB112" s="1048">
        <f t="shared" si="234"/>
        <v>0</v>
      </c>
      <c r="BC112" s="1048">
        <f t="shared" si="234"/>
        <v>0</v>
      </c>
      <c r="BD112" s="1048">
        <f t="shared" si="234"/>
        <v>0</v>
      </c>
      <c r="BE112" s="1048">
        <f t="shared" si="234"/>
        <v>0</v>
      </c>
      <c r="BF112" s="1048">
        <f t="shared" si="234"/>
        <v>0</v>
      </c>
      <c r="BG112" s="1048">
        <f t="shared" si="234"/>
        <v>0</v>
      </c>
      <c r="BH112" s="1048">
        <f t="shared" si="234"/>
        <v>0</v>
      </c>
      <c r="BI112" s="1048">
        <f t="shared" si="234"/>
        <v>0</v>
      </c>
      <c r="BJ112" s="1048">
        <f t="shared" si="234"/>
        <v>0</v>
      </c>
      <c r="BK112" s="1048">
        <f t="shared" si="234"/>
        <v>0</v>
      </c>
      <c r="BL112" s="1048">
        <f t="shared" si="234"/>
        <v>0</v>
      </c>
      <c r="BM112" s="1048">
        <f t="shared" si="234"/>
        <v>0</v>
      </c>
      <c r="BN112" s="1048">
        <f t="shared" si="234"/>
        <v>0</v>
      </c>
      <c r="BO112" s="1048">
        <f t="shared" si="234"/>
        <v>0</v>
      </c>
      <c r="BP112" s="1048">
        <f t="shared" si="234"/>
        <v>0</v>
      </c>
      <c r="BQ112" s="1048">
        <f t="shared" si="234"/>
        <v>0</v>
      </c>
      <c r="BR112" s="1048">
        <f t="shared" si="234"/>
        <v>876000000</v>
      </c>
      <c r="BS112" s="1048">
        <f t="shared" si="234"/>
        <v>875508016</v>
      </c>
      <c r="BT112" s="1048">
        <f t="shared" ref="BT112:CC112" si="235">+SUM(BT113:BT118)</f>
        <v>875508016</v>
      </c>
      <c r="BU112" s="1048">
        <f t="shared" si="235"/>
        <v>732790576</v>
      </c>
      <c r="BV112" s="1048">
        <f t="shared" si="235"/>
        <v>250000000</v>
      </c>
      <c r="BW112" s="1048">
        <f t="shared" si="235"/>
        <v>250000000</v>
      </c>
      <c r="BX112" s="1048">
        <f t="shared" si="235"/>
        <v>250000000</v>
      </c>
      <c r="BY112" s="1048">
        <f t="shared" si="235"/>
        <v>250000000</v>
      </c>
      <c r="BZ112" s="1048">
        <f t="shared" si="235"/>
        <v>0</v>
      </c>
      <c r="CA112" s="1048">
        <f t="shared" si="235"/>
        <v>0</v>
      </c>
      <c r="CB112" s="1048">
        <f t="shared" si="235"/>
        <v>0</v>
      </c>
      <c r="CC112" s="1048">
        <f t="shared" si="235"/>
        <v>0</v>
      </c>
      <c r="CD112" s="691">
        <f t="shared" si="197"/>
        <v>1371960000</v>
      </c>
      <c r="CE112" s="691">
        <f t="shared" si="228"/>
        <v>1371468016</v>
      </c>
      <c r="CF112" s="690">
        <f>+'Anexo 5.2. infor Gastos mesa 55'!AA88</f>
        <v>1371468016</v>
      </c>
      <c r="CG112" s="690">
        <f>+'Anexo 5.2. infor Gastos mesa 55'!AB88</f>
        <v>1030750576</v>
      </c>
      <c r="CH112" s="700"/>
      <c r="CI112" s="758">
        <f t="shared" si="229"/>
        <v>0</v>
      </c>
    </row>
    <row r="113" spans="1:87" ht="39.75" thickTop="1" thickBot="1" x14ac:dyDescent="0.3">
      <c r="A113" s="444"/>
      <c r="B113" s="444"/>
      <c r="C113" s="446"/>
      <c r="D113" s="446"/>
      <c r="E113" s="445"/>
      <c r="F113" s="445"/>
      <c r="G113" s="444"/>
      <c r="H113" s="686" t="s">
        <v>2431</v>
      </c>
      <c r="I113" s="1046">
        <v>0</v>
      </c>
      <c r="J113" s="687"/>
      <c r="K113" s="687"/>
      <c r="L113" s="687"/>
      <c r="M113" s="687"/>
      <c r="N113" s="687"/>
      <c r="O113" s="687"/>
      <c r="P113" s="687"/>
      <c r="Q113" s="687"/>
      <c r="R113" s="687">
        <v>0</v>
      </c>
      <c r="S113" s="687"/>
      <c r="T113" s="687"/>
      <c r="U113" s="687"/>
      <c r="V113" s="687"/>
      <c r="W113" s="687"/>
      <c r="X113" s="687"/>
      <c r="Y113" s="687"/>
      <c r="Z113" s="687"/>
      <c r="AA113" s="687"/>
      <c r="AB113" s="687"/>
      <c r="AC113" s="687"/>
      <c r="AD113" s="687"/>
      <c r="AE113" s="687"/>
      <c r="AF113" s="687"/>
      <c r="AG113" s="687"/>
      <c r="AH113" s="687"/>
      <c r="AI113" s="687"/>
      <c r="AJ113" s="687"/>
      <c r="AK113" s="687"/>
      <c r="AL113" s="687"/>
      <c r="AM113" s="687"/>
      <c r="AN113" s="687"/>
      <c r="AO113" s="687"/>
      <c r="AP113" s="687"/>
      <c r="AQ113" s="687"/>
      <c r="AR113" s="687"/>
      <c r="AS113" s="687"/>
      <c r="AT113" s="687"/>
      <c r="AU113" s="687"/>
      <c r="AV113" s="687"/>
      <c r="AW113" s="687"/>
      <c r="AX113" s="687"/>
      <c r="AY113" s="687"/>
      <c r="AZ113" s="687"/>
      <c r="BA113" s="687"/>
      <c r="BB113" s="687"/>
      <c r="BC113" s="687"/>
      <c r="BD113" s="687"/>
      <c r="BE113" s="687"/>
      <c r="BF113" s="687"/>
      <c r="BG113" s="687"/>
      <c r="BH113" s="687"/>
      <c r="BI113" s="687"/>
      <c r="BJ113" s="687"/>
      <c r="BK113" s="687"/>
      <c r="BL113" s="687"/>
      <c r="BM113" s="687"/>
      <c r="BN113" s="687"/>
      <c r="BO113" s="687"/>
      <c r="BP113" s="687"/>
      <c r="BQ113" s="687"/>
      <c r="BR113" s="687"/>
      <c r="BS113" s="687"/>
      <c r="BT113" s="687"/>
      <c r="BU113" s="687"/>
      <c r="BV113" s="687"/>
      <c r="BW113" s="687"/>
      <c r="BX113" s="687"/>
      <c r="BY113" s="687"/>
      <c r="BZ113" s="687"/>
      <c r="CA113" s="687"/>
      <c r="CB113" s="687"/>
      <c r="CC113" s="687"/>
      <c r="CD113" s="688">
        <f t="shared" si="197"/>
        <v>0</v>
      </c>
      <c r="CE113" s="688">
        <f t="shared" si="228"/>
        <v>0</v>
      </c>
      <c r="CF113" s="1195"/>
      <c r="CG113" s="1195"/>
      <c r="CH113" s="439"/>
      <c r="CI113" s="758">
        <f t="shared" si="229"/>
        <v>0</v>
      </c>
    </row>
    <row r="114" spans="1:87" ht="39.75" thickTop="1" thickBot="1" x14ac:dyDescent="0.3">
      <c r="A114" s="444"/>
      <c r="B114" s="444"/>
      <c r="C114" s="446"/>
      <c r="D114" s="446"/>
      <c r="E114" s="445"/>
      <c r="F114" s="445"/>
      <c r="G114" s="444"/>
      <c r="H114" s="686" t="s">
        <v>2433</v>
      </c>
      <c r="I114" s="1046">
        <v>876000000</v>
      </c>
      <c r="J114" s="687"/>
      <c r="K114" s="687"/>
      <c r="L114" s="687"/>
      <c r="M114" s="687"/>
      <c r="N114" s="687"/>
      <c r="O114" s="687"/>
      <c r="P114" s="687"/>
      <c r="Q114" s="687"/>
      <c r="R114" s="687"/>
      <c r="S114" s="687"/>
      <c r="T114" s="687"/>
      <c r="U114" s="687"/>
      <c r="V114" s="687"/>
      <c r="W114" s="687"/>
      <c r="X114" s="687"/>
      <c r="Y114" s="687"/>
      <c r="Z114" s="687"/>
      <c r="AA114" s="687"/>
      <c r="AB114" s="687"/>
      <c r="AC114" s="687"/>
      <c r="AD114" s="687"/>
      <c r="AE114" s="687"/>
      <c r="AF114" s="687"/>
      <c r="AG114" s="687"/>
      <c r="AH114" s="687"/>
      <c r="AI114" s="687"/>
      <c r="AJ114" s="687"/>
      <c r="AK114" s="687"/>
      <c r="AL114" s="687"/>
      <c r="AM114" s="687"/>
      <c r="AN114" s="687"/>
      <c r="AO114" s="687"/>
      <c r="AP114" s="687"/>
      <c r="AQ114" s="687"/>
      <c r="AR114" s="687"/>
      <c r="AS114" s="687"/>
      <c r="AT114" s="687"/>
      <c r="AU114" s="687"/>
      <c r="AV114" s="687"/>
      <c r="AW114" s="687"/>
      <c r="AX114" s="687"/>
      <c r="AY114" s="687"/>
      <c r="AZ114" s="687"/>
      <c r="BA114" s="687"/>
      <c r="BB114" s="687"/>
      <c r="BC114" s="687"/>
      <c r="BD114" s="687"/>
      <c r="BE114" s="687"/>
      <c r="BF114" s="687"/>
      <c r="BG114" s="687"/>
      <c r="BH114" s="687"/>
      <c r="BI114" s="687"/>
      <c r="BJ114" s="687"/>
      <c r="BK114" s="687"/>
      <c r="BL114" s="687"/>
      <c r="BM114" s="687"/>
      <c r="BN114" s="687"/>
      <c r="BO114" s="687"/>
      <c r="BP114" s="687"/>
      <c r="BQ114" s="687"/>
      <c r="BR114" s="687">
        <v>876000000</v>
      </c>
      <c r="BS114" s="687">
        <v>875508016</v>
      </c>
      <c r="BT114" s="687">
        <v>875508016</v>
      </c>
      <c r="BU114" s="687">
        <v>732790576</v>
      </c>
      <c r="BV114" s="687"/>
      <c r="BW114" s="687"/>
      <c r="BX114" s="687"/>
      <c r="BY114" s="687"/>
      <c r="BZ114" s="687"/>
      <c r="CA114" s="687"/>
      <c r="CB114" s="687"/>
      <c r="CC114" s="687"/>
      <c r="CD114" s="688">
        <f t="shared" si="197"/>
        <v>876000000</v>
      </c>
      <c r="CE114" s="688">
        <f t="shared" si="228"/>
        <v>875508016</v>
      </c>
      <c r="CF114" s="687">
        <f>498630576+376877440</f>
        <v>875508016</v>
      </c>
      <c r="CG114" s="687">
        <f>+CF114-142717440</f>
        <v>732790576</v>
      </c>
      <c r="CH114" s="439"/>
      <c r="CI114" s="758">
        <f t="shared" si="229"/>
        <v>0</v>
      </c>
    </row>
    <row r="115" spans="1:87" ht="52.5" thickTop="1" thickBot="1" x14ac:dyDescent="0.3">
      <c r="A115" s="444"/>
      <c r="B115" s="444"/>
      <c r="C115" s="446"/>
      <c r="D115" s="446"/>
      <c r="E115" s="445"/>
      <c r="F115" s="445"/>
      <c r="G115" s="444"/>
      <c r="H115" s="686" t="s">
        <v>2435</v>
      </c>
      <c r="I115" s="1046">
        <v>98000000</v>
      </c>
      <c r="J115" s="687"/>
      <c r="K115" s="687"/>
      <c r="L115" s="687"/>
      <c r="M115" s="687"/>
      <c r="N115" s="687"/>
      <c r="O115" s="687"/>
      <c r="P115" s="687"/>
      <c r="Q115" s="687"/>
      <c r="R115" s="687">
        <v>98000000</v>
      </c>
      <c r="S115" s="687">
        <v>98000000</v>
      </c>
      <c r="T115" s="687">
        <v>98000000</v>
      </c>
      <c r="U115" s="687">
        <v>0</v>
      </c>
      <c r="V115" s="687"/>
      <c r="W115" s="687"/>
      <c r="X115" s="687"/>
      <c r="Y115" s="687"/>
      <c r="Z115" s="687"/>
      <c r="AA115" s="687"/>
      <c r="AB115" s="687"/>
      <c r="AC115" s="687"/>
      <c r="AD115" s="687"/>
      <c r="AE115" s="687"/>
      <c r="AF115" s="687"/>
      <c r="AG115" s="687"/>
      <c r="AH115" s="687"/>
      <c r="AI115" s="687"/>
      <c r="AJ115" s="687"/>
      <c r="AK115" s="687"/>
      <c r="AL115" s="687"/>
      <c r="AM115" s="687"/>
      <c r="AN115" s="687"/>
      <c r="AO115" s="687"/>
      <c r="AP115" s="687"/>
      <c r="AQ115" s="687"/>
      <c r="AR115" s="687"/>
      <c r="AS115" s="687"/>
      <c r="AT115" s="687"/>
      <c r="AU115" s="687"/>
      <c r="AV115" s="687"/>
      <c r="AW115" s="687"/>
      <c r="AX115" s="687"/>
      <c r="AY115" s="687"/>
      <c r="AZ115" s="687"/>
      <c r="BA115" s="687"/>
      <c r="BB115" s="687"/>
      <c r="BC115" s="687"/>
      <c r="BD115" s="687"/>
      <c r="BE115" s="687"/>
      <c r="BF115" s="687"/>
      <c r="BG115" s="687"/>
      <c r="BH115" s="687"/>
      <c r="BI115" s="687"/>
      <c r="BJ115" s="687"/>
      <c r="BK115" s="687"/>
      <c r="BL115" s="687"/>
      <c r="BM115" s="687"/>
      <c r="BN115" s="687"/>
      <c r="BO115" s="687"/>
      <c r="BP115" s="687"/>
      <c r="BQ115" s="687"/>
      <c r="BR115" s="687"/>
      <c r="BS115" s="687"/>
      <c r="BT115" s="687"/>
      <c r="BU115" s="687"/>
      <c r="BV115" s="687"/>
      <c r="BW115" s="687"/>
      <c r="BX115" s="687"/>
      <c r="BY115" s="687"/>
      <c r="BZ115" s="687"/>
      <c r="CA115" s="687"/>
      <c r="CB115" s="687"/>
      <c r="CC115" s="687"/>
      <c r="CD115" s="688">
        <f t="shared" si="197"/>
        <v>98000000</v>
      </c>
      <c r="CE115" s="688">
        <f t="shared" si="228"/>
        <v>98000000</v>
      </c>
      <c r="CF115" s="687">
        <v>98000000</v>
      </c>
      <c r="CG115" s="687"/>
      <c r="CH115" s="439"/>
      <c r="CI115" s="758">
        <f t="shared" si="229"/>
        <v>0</v>
      </c>
    </row>
    <row r="116" spans="1:87" ht="52.5" thickTop="1" thickBot="1" x14ac:dyDescent="0.3">
      <c r="A116" s="444"/>
      <c r="B116" s="444"/>
      <c r="C116" s="446"/>
      <c r="D116" s="446"/>
      <c r="E116" s="445"/>
      <c r="F116" s="445"/>
      <c r="G116" s="444"/>
      <c r="H116" s="686" t="s">
        <v>2437</v>
      </c>
      <c r="I116" s="1046">
        <v>50000000</v>
      </c>
      <c r="J116" s="687"/>
      <c r="K116" s="687"/>
      <c r="L116" s="687"/>
      <c r="M116" s="687"/>
      <c r="N116" s="687"/>
      <c r="O116" s="687"/>
      <c r="P116" s="687"/>
      <c r="Q116" s="687"/>
      <c r="R116" s="687">
        <v>50000000</v>
      </c>
      <c r="S116" s="687">
        <v>50000000</v>
      </c>
      <c r="T116" s="687">
        <v>50000000</v>
      </c>
      <c r="U116" s="687">
        <v>0</v>
      </c>
      <c r="V116" s="687"/>
      <c r="W116" s="687"/>
      <c r="X116" s="687"/>
      <c r="Y116" s="687"/>
      <c r="Z116" s="687"/>
      <c r="AA116" s="687"/>
      <c r="AB116" s="687"/>
      <c r="AC116" s="687"/>
      <c r="AD116" s="687"/>
      <c r="AE116" s="687"/>
      <c r="AF116" s="687"/>
      <c r="AG116" s="687"/>
      <c r="AH116" s="687"/>
      <c r="AI116" s="687"/>
      <c r="AJ116" s="687"/>
      <c r="AK116" s="687"/>
      <c r="AL116" s="687"/>
      <c r="AM116" s="687"/>
      <c r="AN116" s="687"/>
      <c r="AO116" s="687"/>
      <c r="AP116" s="687"/>
      <c r="AQ116" s="687"/>
      <c r="AR116" s="687"/>
      <c r="AS116" s="687"/>
      <c r="AT116" s="687"/>
      <c r="AU116" s="687"/>
      <c r="AV116" s="687"/>
      <c r="AW116" s="687"/>
      <c r="AX116" s="687"/>
      <c r="AY116" s="687"/>
      <c r="AZ116" s="687"/>
      <c r="BA116" s="687"/>
      <c r="BB116" s="687"/>
      <c r="BC116" s="687"/>
      <c r="BD116" s="687"/>
      <c r="BE116" s="687"/>
      <c r="BF116" s="687"/>
      <c r="BG116" s="687"/>
      <c r="BH116" s="687"/>
      <c r="BI116" s="687"/>
      <c r="BJ116" s="687"/>
      <c r="BK116" s="687"/>
      <c r="BL116" s="687"/>
      <c r="BM116" s="687"/>
      <c r="BN116" s="687"/>
      <c r="BO116" s="687"/>
      <c r="BP116" s="687"/>
      <c r="BQ116" s="687"/>
      <c r="BR116" s="687"/>
      <c r="BS116" s="687"/>
      <c r="BT116" s="687"/>
      <c r="BU116" s="687"/>
      <c r="BV116" s="687"/>
      <c r="BW116" s="687"/>
      <c r="BX116" s="687"/>
      <c r="BY116" s="687"/>
      <c r="BZ116" s="687"/>
      <c r="CA116" s="687"/>
      <c r="CB116" s="687"/>
      <c r="CC116" s="687"/>
      <c r="CD116" s="688">
        <f t="shared" si="197"/>
        <v>50000000</v>
      </c>
      <c r="CE116" s="688">
        <f t="shared" si="228"/>
        <v>50000000</v>
      </c>
      <c r="CF116" s="687">
        <v>50000000</v>
      </c>
      <c r="CG116" s="687"/>
      <c r="CH116" s="439"/>
      <c r="CI116" s="758">
        <f t="shared" si="229"/>
        <v>0</v>
      </c>
    </row>
    <row r="117" spans="1:87" ht="39.75" thickTop="1" thickBot="1" x14ac:dyDescent="0.3">
      <c r="A117" s="444"/>
      <c r="B117" s="444"/>
      <c r="C117" s="446"/>
      <c r="D117" s="446"/>
      <c r="E117" s="445"/>
      <c r="F117" s="445"/>
      <c r="G117" s="444"/>
      <c r="H117" s="686" t="s">
        <v>2439</v>
      </c>
      <c r="I117" s="1046">
        <v>297960000</v>
      </c>
      <c r="J117" s="687">
        <v>33760000</v>
      </c>
      <c r="K117" s="687">
        <v>33760000</v>
      </c>
      <c r="L117" s="687">
        <v>33760000</v>
      </c>
      <c r="M117" s="687">
        <v>33760000</v>
      </c>
      <c r="N117" s="687">
        <v>14200000</v>
      </c>
      <c r="O117" s="687">
        <v>14200000</v>
      </c>
      <c r="P117" s="687">
        <v>14200000</v>
      </c>
      <c r="Q117" s="687">
        <v>14200000</v>
      </c>
      <c r="R117" s="687"/>
      <c r="S117" s="687">
        <v>0</v>
      </c>
      <c r="T117" s="687">
        <v>0</v>
      </c>
      <c r="U117" s="687">
        <v>0</v>
      </c>
      <c r="V117" s="687"/>
      <c r="W117" s="687"/>
      <c r="X117" s="687"/>
      <c r="Y117" s="687"/>
      <c r="Z117" s="687"/>
      <c r="AA117" s="687"/>
      <c r="AB117" s="687"/>
      <c r="AC117" s="687"/>
      <c r="AD117" s="687"/>
      <c r="AE117" s="687"/>
      <c r="AF117" s="687"/>
      <c r="AG117" s="687"/>
      <c r="AH117" s="687"/>
      <c r="AI117" s="687"/>
      <c r="AJ117" s="687"/>
      <c r="AK117" s="687"/>
      <c r="AL117" s="687"/>
      <c r="AM117" s="687"/>
      <c r="AN117" s="687"/>
      <c r="AO117" s="687"/>
      <c r="AP117" s="687"/>
      <c r="AQ117" s="687"/>
      <c r="AR117" s="687"/>
      <c r="AS117" s="687"/>
      <c r="AT117" s="687"/>
      <c r="AU117" s="687"/>
      <c r="AV117" s="687"/>
      <c r="AW117" s="687"/>
      <c r="AX117" s="687"/>
      <c r="AY117" s="687"/>
      <c r="AZ117" s="687"/>
      <c r="BA117" s="687"/>
      <c r="BB117" s="687"/>
      <c r="BC117" s="687"/>
      <c r="BD117" s="687"/>
      <c r="BE117" s="687"/>
      <c r="BF117" s="687"/>
      <c r="BG117" s="687"/>
      <c r="BH117" s="687"/>
      <c r="BI117" s="687"/>
      <c r="BJ117" s="687"/>
      <c r="BK117" s="687"/>
      <c r="BL117" s="687"/>
      <c r="BM117" s="687"/>
      <c r="BN117" s="687"/>
      <c r="BO117" s="687"/>
      <c r="BP117" s="687"/>
      <c r="BQ117" s="687"/>
      <c r="BR117" s="687"/>
      <c r="BS117" s="687"/>
      <c r="BT117" s="687"/>
      <c r="BU117" s="687"/>
      <c r="BV117" s="687">
        <v>250000000</v>
      </c>
      <c r="BW117" s="687">
        <v>250000000</v>
      </c>
      <c r="BX117" s="687">
        <v>250000000</v>
      </c>
      <c r="BY117" s="687">
        <v>250000000</v>
      </c>
      <c r="BZ117" s="687"/>
      <c r="CA117" s="687"/>
      <c r="CB117" s="687"/>
      <c r="CC117" s="687"/>
      <c r="CD117" s="688">
        <f t="shared" si="197"/>
        <v>297960000</v>
      </c>
      <c r="CE117" s="688">
        <f t="shared" si="228"/>
        <v>297960000</v>
      </c>
      <c r="CF117" s="687">
        <v>297960000</v>
      </c>
      <c r="CG117" s="687">
        <f>+CF117</f>
        <v>297960000</v>
      </c>
      <c r="CH117" s="439"/>
      <c r="CI117" s="758">
        <f t="shared" si="229"/>
        <v>0</v>
      </c>
    </row>
    <row r="118" spans="1:87" ht="27" thickTop="1" thickBot="1" x14ac:dyDescent="0.3">
      <c r="A118" s="444"/>
      <c r="B118" s="444"/>
      <c r="C118" s="446"/>
      <c r="D118" s="446"/>
      <c r="E118" s="445"/>
      <c r="F118" s="445"/>
      <c r="G118" s="444"/>
      <c r="H118" s="686" t="s">
        <v>2441</v>
      </c>
      <c r="I118" s="1046">
        <v>50000000</v>
      </c>
      <c r="J118" s="687"/>
      <c r="K118" s="687"/>
      <c r="L118" s="687"/>
      <c r="M118" s="687"/>
      <c r="N118" s="687"/>
      <c r="O118" s="687"/>
      <c r="P118" s="687"/>
      <c r="Q118" s="687"/>
      <c r="R118" s="687">
        <v>50000000</v>
      </c>
      <c r="S118" s="687">
        <v>50000000</v>
      </c>
      <c r="T118" s="687">
        <v>50000000</v>
      </c>
      <c r="U118" s="687">
        <v>0</v>
      </c>
      <c r="V118" s="687"/>
      <c r="W118" s="687"/>
      <c r="X118" s="687"/>
      <c r="Y118" s="687"/>
      <c r="Z118" s="687"/>
      <c r="AA118" s="687"/>
      <c r="AB118" s="687"/>
      <c r="AC118" s="687"/>
      <c r="AD118" s="687"/>
      <c r="AE118" s="687"/>
      <c r="AF118" s="687"/>
      <c r="AG118" s="687"/>
      <c r="AH118" s="687"/>
      <c r="AI118" s="687"/>
      <c r="AJ118" s="687"/>
      <c r="AK118" s="687"/>
      <c r="AL118" s="687"/>
      <c r="AM118" s="687"/>
      <c r="AN118" s="687"/>
      <c r="AO118" s="687"/>
      <c r="AP118" s="687"/>
      <c r="AQ118" s="687"/>
      <c r="AR118" s="687"/>
      <c r="AS118" s="687"/>
      <c r="AT118" s="687"/>
      <c r="AU118" s="687"/>
      <c r="AV118" s="687"/>
      <c r="AW118" s="687"/>
      <c r="AX118" s="687"/>
      <c r="AY118" s="687"/>
      <c r="AZ118" s="687"/>
      <c r="BA118" s="687"/>
      <c r="BB118" s="687"/>
      <c r="BC118" s="687"/>
      <c r="BD118" s="687"/>
      <c r="BE118" s="687"/>
      <c r="BF118" s="687"/>
      <c r="BG118" s="687"/>
      <c r="BH118" s="687"/>
      <c r="BI118" s="687"/>
      <c r="BJ118" s="687"/>
      <c r="BK118" s="687"/>
      <c r="BL118" s="687"/>
      <c r="BM118" s="687"/>
      <c r="BN118" s="687"/>
      <c r="BO118" s="687"/>
      <c r="BP118" s="687"/>
      <c r="BQ118" s="687"/>
      <c r="BR118" s="687"/>
      <c r="BS118" s="687"/>
      <c r="BT118" s="687"/>
      <c r="BU118" s="687"/>
      <c r="BV118" s="687"/>
      <c r="BW118" s="687"/>
      <c r="BX118" s="687"/>
      <c r="BY118" s="687"/>
      <c r="BZ118" s="687"/>
      <c r="CA118" s="687"/>
      <c r="CB118" s="687"/>
      <c r="CC118" s="687"/>
      <c r="CD118" s="688">
        <f t="shared" si="197"/>
        <v>50000000</v>
      </c>
      <c r="CE118" s="688">
        <f t="shared" si="228"/>
        <v>50000000</v>
      </c>
      <c r="CF118" s="687">
        <v>50000000</v>
      </c>
      <c r="CG118" s="687"/>
      <c r="CH118" s="439"/>
      <c r="CI118" s="758">
        <f t="shared" si="229"/>
        <v>0</v>
      </c>
    </row>
    <row r="119" spans="1:87" ht="27" thickTop="1" thickBot="1" x14ac:dyDescent="0.3">
      <c r="A119" s="717"/>
      <c r="B119" s="717"/>
      <c r="C119" s="716"/>
      <c r="D119" s="716"/>
      <c r="E119" s="716"/>
      <c r="F119" s="716"/>
      <c r="G119" s="717"/>
      <c r="H119" s="708" t="s">
        <v>2238</v>
      </c>
      <c r="I119" s="1047">
        <f t="shared" ref="I119:BS119" si="236">+I120</f>
        <v>315000000</v>
      </c>
      <c r="J119" s="1047">
        <f t="shared" si="236"/>
        <v>0</v>
      </c>
      <c r="K119" s="1047">
        <f t="shared" si="236"/>
        <v>0</v>
      </c>
      <c r="L119" s="1047">
        <f t="shared" si="236"/>
        <v>0</v>
      </c>
      <c r="M119" s="1047">
        <f t="shared" si="236"/>
        <v>0</v>
      </c>
      <c r="N119" s="1047">
        <f t="shared" si="236"/>
        <v>0</v>
      </c>
      <c r="O119" s="1047">
        <f t="shared" si="236"/>
        <v>0</v>
      </c>
      <c r="P119" s="1047">
        <f t="shared" si="236"/>
        <v>0</v>
      </c>
      <c r="Q119" s="1047">
        <f t="shared" si="236"/>
        <v>0</v>
      </c>
      <c r="R119" s="1047">
        <f t="shared" si="236"/>
        <v>0</v>
      </c>
      <c r="S119" s="1047">
        <f t="shared" si="236"/>
        <v>0</v>
      </c>
      <c r="T119" s="1047">
        <f t="shared" si="236"/>
        <v>0</v>
      </c>
      <c r="U119" s="1047">
        <f t="shared" si="236"/>
        <v>0</v>
      </c>
      <c r="V119" s="1047">
        <f t="shared" si="236"/>
        <v>0</v>
      </c>
      <c r="W119" s="1047">
        <f t="shared" si="236"/>
        <v>0</v>
      </c>
      <c r="X119" s="1047">
        <f t="shared" si="236"/>
        <v>0</v>
      </c>
      <c r="Y119" s="1047">
        <f t="shared" si="236"/>
        <v>0</v>
      </c>
      <c r="Z119" s="1047">
        <f t="shared" si="236"/>
        <v>0</v>
      </c>
      <c r="AA119" s="1047">
        <f t="shared" si="236"/>
        <v>0</v>
      </c>
      <c r="AB119" s="1047">
        <f t="shared" si="236"/>
        <v>0</v>
      </c>
      <c r="AC119" s="1047">
        <f t="shared" si="236"/>
        <v>0</v>
      </c>
      <c r="AD119" s="1047">
        <f t="shared" si="236"/>
        <v>0</v>
      </c>
      <c r="AE119" s="1047">
        <f t="shared" si="236"/>
        <v>0</v>
      </c>
      <c r="AF119" s="1047">
        <f t="shared" si="236"/>
        <v>0</v>
      </c>
      <c r="AG119" s="1047">
        <f t="shared" si="236"/>
        <v>0</v>
      </c>
      <c r="AH119" s="1047">
        <f t="shared" si="236"/>
        <v>0</v>
      </c>
      <c r="AI119" s="1047">
        <f t="shared" si="236"/>
        <v>0</v>
      </c>
      <c r="AJ119" s="1047">
        <f t="shared" si="236"/>
        <v>0</v>
      </c>
      <c r="AK119" s="1047">
        <f t="shared" si="236"/>
        <v>0</v>
      </c>
      <c r="AL119" s="1047">
        <f t="shared" si="236"/>
        <v>0</v>
      </c>
      <c r="AM119" s="1047">
        <f t="shared" si="236"/>
        <v>0</v>
      </c>
      <c r="AN119" s="1047">
        <f t="shared" si="236"/>
        <v>0</v>
      </c>
      <c r="AO119" s="1047">
        <f t="shared" si="236"/>
        <v>0</v>
      </c>
      <c r="AP119" s="1047">
        <f t="shared" si="236"/>
        <v>0</v>
      </c>
      <c r="AQ119" s="1047">
        <f t="shared" si="236"/>
        <v>0</v>
      </c>
      <c r="AR119" s="1047">
        <f t="shared" si="236"/>
        <v>0</v>
      </c>
      <c r="AS119" s="1047">
        <f t="shared" si="236"/>
        <v>0</v>
      </c>
      <c r="AT119" s="1047">
        <f t="shared" si="236"/>
        <v>0</v>
      </c>
      <c r="AU119" s="1047">
        <f t="shared" si="236"/>
        <v>0</v>
      </c>
      <c r="AV119" s="1047">
        <f t="shared" si="236"/>
        <v>0</v>
      </c>
      <c r="AW119" s="1047">
        <f t="shared" si="236"/>
        <v>0</v>
      </c>
      <c r="AX119" s="1047">
        <f t="shared" si="236"/>
        <v>0</v>
      </c>
      <c r="AY119" s="1047">
        <f t="shared" si="236"/>
        <v>0</v>
      </c>
      <c r="AZ119" s="1047">
        <f t="shared" si="236"/>
        <v>0</v>
      </c>
      <c r="BA119" s="1047">
        <f t="shared" si="236"/>
        <v>0</v>
      </c>
      <c r="BB119" s="1047">
        <f t="shared" si="236"/>
        <v>0</v>
      </c>
      <c r="BC119" s="1047">
        <f t="shared" si="236"/>
        <v>0</v>
      </c>
      <c r="BD119" s="1047">
        <f t="shared" si="236"/>
        <v>0</v>
      </c>
      <c r="BE119" s="1047">
        <f t="shared" si="236"/>
        <v>0</v>
      </c>
      <c r="BF119" s="1047">
        <f t="shared" si="236"/>
        <v>0</v>
      </c>
      <c r="BG119" s="1047">
        <f t="shared" si="236"/>
        <v>0</v>
      </c>
      <c r="BH119" s="1047">
        <f t="shared" si="236"/>
        <v>0</v>
      </c>
      <c r="BI119" s="1047">
        <f t="shared" si="236"/>
        <v>0</v>
      </c>
      <c r="BJ119" s="1047">
        <f t="shared" si="236"/>
        <v>0</v>
      </c>
      <c r="BK119" s="1047">
        <f t="shared" si="236"/>
        <v>0</v>
      </c>
      <c r="BL119" s="1047">
        <f t="shared" si="236"/>
        <v>0</v>
      </c>
      <c r="BM119" s="1047">
        <f t="shared" si="236"/>
        <v>0</v>
      </c>
      <c r="BN119" s="1047">
        <f t="shared" si="236"/>
        <v>0</v>
      </c>
      <c r="BO119" s="1047">
        <f t="shared" si="236"/>
        <v>0</v>
      </c>
      <c r="BP119" s="1047">
        <f t="shared" si="236"/>
        <v>0</v>
      </c>
      <c r="BQ119" s="1047">
        <f t="shared" si="236"/>
        <v>0</v>
      </c>
      <c r="BR119" s="1047">
        <f t="shared" si="236"/>
        <v>315000000</v>
      </c>
      <c r="BS119" s="1047">
        <f t="shared" si="236"/>
        <v>314695768</v>
      </c>
      <c r="BT119" s="1047">
        <f t="shared" ref="BT119:CC119" si="237">+BT120</f>
        <v>314695768</v>
      </c>
      <c r="BU119" s="1047">
        <f t="shared" si="237"/>
        <v>200800000</v>
      </c>
      <c r="BV119" s="1047">
        <f t="shared" si="237"/>
        <v>0</v>
      </c>
      <c r="BW119" s="1047">
        <f t="shared" si="237"/>
        <v>0</v>
      </c>
      <c r="BX119" s="1047">
        <f t="shared" si="237"/>
        <v>0</v>
      </c>
      <c r="BY119" s="1047">
        <f t="shared" si="237"/>
        <v>0</v>
      </c>
      <c r="BZ119" s="1047">
        <f t="shared" si="237"/>
        <v>0</v>
      </c>
      <c r="CA119" s="1047">
        <f t="shared" si="237"/>
        <v>0</v>
      </c>
      <c r="CB119" s="1047">
        <f t="shared" si="237"/>
        <v>0</v>
      </c>
      <c r="CC119" s="1047">
        <f t="shared" si="237"/>
        <v>0</v>
      </c>
      <c r="CD119" s="752">
        <f t="shared" si="197"/>
        <v>315000000</v>
      </c>
      <c r="CE119" s="752">
        <f>+CE120</f>
        <v>314695768</v>
      </c>
      <c r="CF119" s="1196">
        <f>+CF120</f>
        <v>314695768</v>
      </c>
      <c r="CG119" s="1196">
        <f>+CG120</f>
        <v>200800000</v>
      </c>
      <c r="CH119" s="709"/>
      <c r="CI119" s="758">
        <f t="shared" si="229"/>
        <v>0</v>
      </c>
    </row>
    <row r="120" spans="1:87" ht="27" thickTop="1" thickBot="1" x14ac:dyDescent="0.3">
      <c r="A120" s="710"/>
      <c r="B120" s="710"/>
      <c r="C120" s="711"/>
      <c r="D120" s="711"/>
      <c r="E120" s="712"/>
      <c r="F120" s="712"/>
      <c r="G120" s="710"/>
      <c r="H120" s="689" t="s">
        <v>2174</v>
      </c>
      <c r="I120" s="1048">
        <f t="shared" ref="I120:BS120" si="238">+SUM(I121:I123)</f>
        <v>315000000</v>
      </c>
      <c r="J120" s="1048">
        <f t="shared" si="238"/>
        <v>0</v>
      </c>
      <c r="K120" s="1048">
        <f t="shared" si="238"/>
        <v>0</v>
      </c>
      <c r="L120" s="1048">
        <f t="shared" si="238"/>
        <v>0</v>
      </c>
      <c r="M120" s="1048">
        <f t="shared" si="238"/>
        <v>0</v>
      </c>
      <c r="N120" s="1048">
        <f t="shared" si="238"/>
        <v>0</v>
      </c>
      <c r="O120" s="1048">
        <f t="shared" si="238"/>
        <v>0</v>
      </c>
      <c r="P120" s="1048">
        <f t="shared" si="238"/>
        <v>0</v>
      </c>
      <c r="Q120" s="1048">
        <f t="shared" si="238"/>
        <v>0</v>
      </c>
      <c r="R120" s="1048">
        <f t="shared" si="238"/>
        <v>0</v>
      </c>
      <c r="S120" s="1048">
        <f t="shared" si="238"/>
        <v>0</v>
      </c>
      <c r="T120" s="1048">
        <f t="shared" si="238"/>
        <v>0</v>
      </c>
      <c r="U120" s="1048">
        <f t="shared" si="238"/>
        <v>0</v>
      </c>
      <c r="V120" s="1048">
        <f t="shared" si="238"/>
        <v>0</v>
      </c>
      <c r="W120" s="1048">
        <f t="shared" si="238"/>
        <v>0</v>
      </c>
      <c r="X120" s="1048">
        <f t="shared" si="238"/>
        <v>0</v>
      </c>
      <c r="Y120" s="1048">
        <f t="shared" si="238"/>
        <v>0</v>
      </c>
      <c r="Z120" s="1048">
        <f t="shared" si="238"/>
        <v>0</v>
      </c>
      <c r="AA120" s="1048">
        <f t="shared" si="238"/>
        <v>0</v>
      </c>
      <c r="AB120" s="1048">
        <f t="shared" si="238"/>
        <v>0</v>
      </c>
      <c r="AC120" s="1048">
        <f t="shared" si="238"/>
        <v>0</v>
      </c>
      <c r="AD120" s="1048">
        <f t="shared" si="238"/>
        <v>0</v>
      </c>
      <c r="AE120" s="1048">
        <f t="shared" si="238"/>
        <v>0</v>
      </c>
      <c r="AF120" s="1048">
        <f t="shared" si="238"/>
        <v>0</v>
      </c>
      <c r="AG120" s="1048">
        <f t="shared" si="238"/>
        <v>0</v>
      </c>
      <c r="AH120" s="1048">
        <f t="shared" si="238"/>
        <v>0</v>
      </c>
      <c r="AI120" s="1048">
        <f t="shared" si="238"/>
        <v>0</v>
      </c>
      <c r="AJ120" s="1048">
        <f t="shared" si="238"/>
        <v>0</v>
      </c>
      <c r="AK120" s="1048">
        <f t="shared" si="238"/>
        <v>0</v>
      </c>
      <c r="AL120" s="1048">
        <f t="shared" si="238"/>
        <v>0</v>
      </c>
      <c r="AM120" s="1048">
        <f t="shared" si="238"/>
        <v>0</v>
      </c>
      <c r="AN120" s="1048">
        <f t="shared" si="238"/>
        <v>0</v>
      </c>
      <c r="AO120" s="1048">
        <f t="shared" si="238"/>
        <v>0</v>
      </c>
      <c r="AP120" s="1048">
        <f t="shared" si="238"/>
        <v>0</v>
      </c>
      <c r="AQ120" s="1048">
        <f t="shared" si="238"/>
        <v>0</v>
      </c>
      <c r="AR120" s="1048">
        <f t="shared" si="238"/>
        <v>0</v>
      </c>
      <c r="AS120" s="1048">
        <f t="shared" si="238"/>
        <v>0</v>
      </c>
      <c r="AT120" s="1048">
        <f t="shared" si="238"/>
        <v>0</v>
      </c>
      <c r="AU120" s="1048">
        <f t="shared" si="238"/>
        <v>0</v>
      </c>
      <c r="AV120" s="1048">
        <f t="shared" si="238"/>
        <v>0</v>
      </c>
      <c r="AW120" s="1048">
        <f t="shared" si="238"/>
        <v>0</v>
      </c>
      <c r="AX120" s="1048">
        <f t="shared" si="238"/>
        <v>0</v>
      </c>
      <c r="AY120" s="1048">
        <f t="shared" si="238"/>
        <v>0</v>
      </c>
      <c r="AZ120" s="1048">
        <f t="shared" si="238"/>
        <v>0</v>
      </c>
      <c r="BA120" s="1048">
        <f t="shared" si="238"/>
        <v>0</v>
      </c>
      <c r="BB120" s="1048">
        <f t="shared" si="238"/>
        <v>0</v>
      </c>
      <c r="BC120" s="1048">
        <f t="shared" si="238"/>
        <v>0</v>
      </c>
      <c r="BD120" s="1048">
        <f t="shared" si="238"/>
        <v>0</v>
      </c>
      <c r="BE120" s="1048">
        <f t="shared" si="238"/>
        <v>0</v>
      </c>
      <c r="BF120" s="1048">
        <f t="shared" si="238"/>
        <v>0</v>
      </c>
      <c r="BG120" s="1048">
        <f t="shared" si="238"/>
        <v>0</v>
      </c>
      <c r="BH120" s="1048">
        <f t="shared" si="238"/>
        <v>0</v>
      </c>
      <c r="BI120" s="1048">
        <f t="shared" si="238"/>
        <v>0</v>
      </c>
      <c r="BJ120" s="1048">
        <f t="shared" si="238"/>
        <v>0</v>
      </c>
      <c r="BK120" s="1048">
        <f t="shared" si="238"/>
        <v>0</v>
      </c>
      <c r="BL120" s="1048">
        <f t="shared" si="238"/>
        <v>0</v>
      </c>
      <c r="BM120" s="1048">
        <f t="shared" si="238"/>
        <v>0</v>
      </c>
      <c r="BN120" s="1048">
        <f t="shared" si="238"/>
        <v>0</v>
      </c>
      <c r="BO120" s="1048">
        <f t="shared" si="238"/>
        <v>0</v>
      </c>
      <c r="BP120" s="1048">
        <f t="shared" si="238"/>
        <v>0</v>
      </c>
      <c r="BQ120" s="1048">
        <f t="shared" si="238"/>
        <v>0</v>
      </c>
      <c r="BR120" s="1048">
        <f t="shared" si="238"/>
        <v>315000000</v>
      </c>
      <c r="BS120" s="1048">
        <f t="shared" si="238"/>
        <v>314695768</v>
      </c>
      <c r="BT120" s="1048">
        <f t="shared" ref="BT120:CC120" si="239">+SUM(BT121:BT123)</f>
        <v>314695768</v>
      </c>
      <c r="BU120" s="1048">
        <f t="shared" si="239"/>
        <v>200800000</v>
      </c>
      <c r="BV120" s="1048">
        <f t="shared" si="239"/>
        <v>0</v>
      </c>
      <c r="BW120" s="1048">
        <f t="shared" si="239"/>
        <v>0</v>
      </c>
      <c r="BX120" s="1048">
        <f t="shared" si="239"/>
        <v>0</v>
      </c>
      <c r="BY120" s="1048">
        <f t="shared" si="239"/>
        <v>0</v>
      </c>
      <c r="BZ120" s="1048">
        <f t="shared" si="239"/>
        <v>0</v>
      </c>
      <c r="CA120" s="1048">
        <f t="shared" si="239"/>
        <v>0</v>
      </c>
      <c r="CB120" s="1048">
        <f t="shared" si="239"/>
        <v>0</v>
      </c>
      <c r="CC120" s="1048">
        <f t="shared" si="239"/>
        <v>0</v>
      </c>
      <c r="CD120" s="691">
        <f t="shared" si="197"/>
        <v>315000000</v>
      </c>
      <c r="CE120" s="691">
        <f t="shared" ref="CE120:CG123" si="240">+K120+O120+S120+W120+AA120+AE120+AI120+AM120+AQ120+AU120+AY120+BC120+BO120+BS120+CA120</f>
        <v>314695768</v>
      </c>
      <c r="CF120" s="691">
        <f>+'Anexo 5.2. infor Gastos mesa 55'!AA91</f>
        <v>314695768</v>
      </c>
      <c r="CG120" s="691">
        <f>+'Anexo 5.2. infor Gastos mesa 55'!AB91</f>
        <v>200800000</v>
      </c>
      <c r="CH120" s="700"/>
      <c r="CI120" s="758">
        <f t="shared" si="229"/>
        <v>0</v>
      </c>
    </row>
    <row r="121" spans="1:87" ht="52.5" thickTop="1" thickBot="1" x14ac:dyDescent="0.3">
      <c r="A121" s="444"/>
      <c r="B121" s="444"/>
      <c r="C121" s="446"/>
      <c r="D121" s="446"/>
      <c r="E121" s="445"/>
      <c r="F121" s="445"/>
      <c r="G121" s="444"/>
      <c r="H121" s="686" t="s">
        <v>2443</v>
      </c>
      <c r="I121" s="1046">
        <v>0</v>
      </c>
      <c r="J121" s="687"/>
      <c r="K121" s="687"/>
      <c r="L121" s="687"/>
      <c r="M121" s="687"/>
      <c r="N121" s="687"/>
      <c r="O121" s="687"/>
      <c r="P121" s="687"/>
      <c r="Q121" s="687"/>
      <c r="R121" s="687"/>
      <c r="S121" s="687"/>
      <c r="T121" s="687"/>
      <c r="U121" s="687"/>
      <c r="V121" s="687"/>
      <c r="W121" s="687"/>
      <c r="X121" s="687"/>
      <c r="Y121" s="687"/>
      <c r="Z121" s="687"/>
      <c r="AA121" s="687"/>
      <c r="AB121" s="687"/>
      <c r="AC121" s="687"/>
      <c r="AD121" s="687"/>
      <c r="AE121" s="687"/>
      <c r="AF121" s="687"/>
      <c r="AG121" s="687"/>
      <c r="AH121" s="687"/>
      <c r="AI121" s="687"/>
      <c r="AJ121" s="687"/>
      <c r="AK121" s="687"/>
      <c r="AL121" s="687"/>
      <c r="AM121" s="687"/>
      <c r="AN121" s="687"/>
      <c r="AO121" s="687"/>
      <c r="AP121" s="687"/>
      <c r="AQ121" s="687"/>
      <c r="AR121" s="687"/>
      <c r="AS121" s="687"/>
      <c r="AT121" s="687"/>
      <c r="AU121" s="687"/>
      <c r="AV121" s="687"/>
      <c r="AW121" s="687"/>
      <c r="AX121" s="687"/>
      <c r="AY121" s="687"/>
      <c r="AZ121" s="687"/>
      <c r="BA121" s="687"/>
      <c r="BB121" s="687"/>
      <c r="BC121" s="687"/>
      <c r="BD121" s="687"/>
      <c r="BE121" s="687"/>
      <c r="BF121" s="687"/>
      <c r="BG121" s="687"/>
      <c r="BH121" s="687"/>
      <c r="BI121" s="687"/>
      <c r="BJ121" s="687"/>
      <c r="BK121" s="687"/>
      <c r="BL121" s="687"/>
      <c r="BM121" s="687"/>
      <c r="BN121" s="687"/>
      <c r="BO121" s="687"/>
      <c r="BP121" s="687"/>
      <c r="BQ121" s="687"/>
      <c r="BR121" s="687"/>
      <c r="BS121" s="687"/>
      <c r="BT121" s="687"/>
      <c r="BU121" s="687"/>
      <c r="BV121" s="687"/>
      <c r="BW121" s="687"/>
      <c r="BX121" s="687"/>
      <c r="BY121" s="687"/>
      <c r="BZ121" s="687"/>
      <c r="CA121" s="687"/>
      <c r="CB121" s="687"/>
      <c r="CC121" s="687"/>
      <c r="CD121" s="688">
        <f t="shared" si="197"/>
        <v>0</v>
      </c>
      <c r="CE121" s="688">
        <f>+K121+O121+S121+W121+AA121+AE121+AI121+AM121+AQ121+AU121+AY121+BC121+BO121+BS121+CA121</f>
        <v>0</v>
      </c>
      <c r="CF121" s="688">
        <f t="shared" si="240"/>
        <v>0</v>
      </c>
      <c r="CG121" s="688">
        <f t="shared" si="240"/>
        <v>0</v>
      </c>
      <c r="CH121" s="439"/>
      <c r="CI121" s="758">
        <f t="shared" si="229"/>
        <v>0</v>
      </c>
    </row>
    <row r="122" spans="1:87" ht="27" thickTop="1" thickBot="1" x14ac:dyDescent="0.3">
      <c r="A122" s="444"/>
      <c r="B122" s="444"/>
      <c r="C122" s="446"/>
      <c r="D122" s="446"/>
      <c r="E122" s="445"/>
      <c r="F122" s="445"/>
      <c r="G122" s="444"/>
      <c r="H122" s="686" t="s">
        <v>2446</v>
      </c>
      <c r="I122" s="1046">
        <v>315000000</v>
      </c>
      <c r="J122" s="687"/>
      <c r="K122" s="687"/>
      <c r="L122" s="687"/>
      <c r="M122" s="687"/>
      <c r="N122" s="687"/>
      <c r="O122" s="687"/>
      <c r="P122" s="687"/>
      <c r="Q122" s="687"/>
      <c r="R122" s="687"/>
      <c r="S122" s="687"/>
      <c r="T122" s="687"/>
      <c r="U122" s="687"/>
      <c r="V122" s="687"/>
      <c r="W122" s="687"/>
      <c r="X122" s="687"/>
      <c r="Y122" s="687"/>
      <c r="Z122" s="687"/>
      <c r="AA122" s="687"/>
      <c r="AB122" s="687"/>
      <c r="AC122" s="687"/>
      <c r="AD122" s="687"/>
      <c r="AE122" s="687"/>
      <c r="AF122" s="687"/>
      <c r="AG122" s="687"/>
      <c r="AH122" s="687"/>
      <c r="AI122" s="687"/>
      <c r="AJ122" s="687"/>
      <c r="AK122" s="687"/>
      <c r="AL122" s="687"/>
      <c r="AM122" s="687"/>
      <c r="AN122" s="687"/>
      <c r="AO122" s="687"/>
      <c r="AP122" s="687"/>
      <c r="AQ122" s="687"/>
      <c r="AR122" s="687"/>
      <c r="AS122" s="687"/>
      <c r="AT122" s="687"/>
      <c r="AU122" s="687"/>
      <c r="AV122" s="687"/>
      <c r="AW122" s="687"/>
      <c r="AX122" s="687"/>
      <c r="AY122" s="687"/>
      <c r="AZ122" s="687"/>
      <c r="BA122" s="687"/>
      <c r="BB122" s="687"/>
      <c r="BC122" s="687"/>
      <c r="BD122" s="687"/>
      <c r="BE122" s="687"/>
      <c r="BF122" s="687"/>
      <c r="BG122" s="687"/>
      <c r="BH122" s="687"/>
      <c r="BI122" s="687"/>
      <c r="BJ122" s="687"/>
      <c r="BK122" s="687"/>
      <c r="BL122" s="687"/>
      <c r="BM122" s="687"/>
      <c r="BN122" s="687"/>
      <c r="BO122" s="687"/>
      <c r="BP122" s="687"/>
      <c r="BQ122" s="687"/>
      <c r="BR122" s="687">
        <v>315000000</v>
      </c>
      <c r="BS122" s="687">
        <v>314695768</v>
      </c>
      <c r="BT122" s="687">
        <v>314695768</v>
      </c>
      <c r="BU122" s="687">
        <v>200800000</v>
      </c>
      <c r="BV122" s="687"/>
      <c r="BW122" s="687"/>
      <c r="BX122" s="687"/>
      <c r="BY122" s="687"/>
      <c r="BZ122" s="687"/>
      <c r="CA122" s="687"/>
      <c r="CB122" s="687"/>
      <c r="CC122" s="687"/>
      <c r="CD122" s="688">
        <f t="shared" si="197"/>
        <v>315000000</v>
      </c>
      <c r="CE122" s="688">
        <f t="shared" si="240"/>
        <v>314695768</v>
      </c>
      <c r="CF122" s="688">
        <f t="shared" si="240"/>
        <v>314695768</v>
      </c>
      <c r="CG122" s="688">
        <v>200800000</v>
      </c>
      <c r="CH122" s="439"/>
      <c r="CI122" s="758">
        <f t="shared" si="229"/>
        <v>0</v>
      </c>
    </row>
    <row r="123" spans="1:87" ht="27" thickTop="1" thickBot="1" x14ac:dyDescent="0.3">
      <c r="A123" s="444"/>
      <c r="B123" s="444"/>
      <c r="C123" s="446"/>
      <c r="D123" s="446"/>
      <c r="E123" s="445"/>
      <c r="F123" s="445"/>
      <c r="G123" s="444"/>
      <c r="H123" s="686" t="s">
        <v>2448</v>
      </c>
      <c r="I123" s="1046"/>
      <c r="J123" s="687">
        <v>0</v>
      </c>
      <c r="K123" s="687"/>
      <c r="L123" s="687"/>
      <c r="M123" s="687"/>
      <c r="N123" s="687"/>
      <c r="O123" s="687"/>
      <c r="P123" s="687"/>
      <c r="Q123" s="687"/>
      <c r="R123" s="687"/>
      <c r="S123" s="687"/>
      <c r="T123" s="687"/>
      <c r="U123" s="687"/>
      <c r="V123" s="687"/>
      <c r="W123" s="687"/>
      <c r="X123" s="687"/>
      <c r="Y123" s="687"/>
      <c r="Z123" s="687"/>
      <c r="AA123" s="687"/>
      <c r="AB123" s="687"/>
      <c r="AC123" s="687"/>
      <c r="AD123" s="687"/>
      <c r="AE123" s="687"/>
      <c r="AF123" s="687"/>
      <c r="AG123" s="687"/>
      <c r="AH123" s="687"/>
      <c r="AI123" s="687"/>
      <c r="AJ123" s="687"/>
      <c r="AK123" s="687"/>
      <c r="AL123" s="687"/>
      <c r="AM123" s="687"/>
      <c r="AN123" s="687"/>
      <c r="AO123" s="687"/>
      <c r="AP123" s="687"/>
      <c r="AQ123" s="687"/>
      <c r="AR123" s="687"/>
      <c r="AS123" s="687"/>
      <c r="AT123" s="687"/>
      <c r="AU123" s="687"/>
      <c r="AV123" s="687"/>
      <c r="AW123" s="687"/>
      <c r="AX123" s="687"/>
      <c r="AY123" s="687"/>
      <c r="AZ123" s="687"/>
      <c r="BA123" s="687"/>
      <c r="BB123" s="687"/>
      <c r="BC123" s="687"/>
      <c r="BD123" s="687"/>
      <c r="BE123" s="687"/>
      <c r="BF123" s="687"/>
      <c r="BG123" s="687"/>
      <c r="BH123" s="687"/>
      <c r="BI123" s="687"/>
      <c r="BJ123" s="687"/>
      <c r="BK123" s="687"/>
      <c r="BL123" s="687"/>
      <c r="BM123" s="687"/>
      <c r="BN123" s="687"/>
      <c r="BO123" s="687"/>
      <c r="BP123" s="687"/>
      <c r="BQ123" s="687"/>
      <c r="BR123" s="687"/>
      <c r="BS123" s="687"/>
      <c r="BT123" s="687"/>
      <c r="BU123" s="687"/>
      <c r="BV123" s="687">
        <v>0</v>
      </c>
      <c r="BW123" s="687"/>
      <c r="BX123" s="687"/>
      <c r="BY123" s="687"/>
      <c r="BZ123" s="687"/>
      <c r="CA123" s="687"/>
      <c r="CB123" s="687"/>
      <c r="CC123" s="687"/>
      <c r="CD123" s="688">
        <f t="shared" si="197"/>
        <v>0</v>
      </c>
      <c r="CE123" s="688">
        <f t="shared" si="240"/>
        <v>0</v>
      </c>
      <c r="CF123" s="688">
        <f t="shared" si="240"/>
        <v>0</v>
      </c>
      <c r="CG123" s="688">
        <f t="shared" si="240"/>
        <v>0</v>
      </c>
      <c r="CH123" s="439"/>
      <c r="CI123" s="758">
        <f t="shared" si="229"/>
        <v>0</v>
      </c>
    </row>
    <row r="124" spans="1:87" ht="27" thickTop="1" thickBot="1" x14ac:dyDescent="0.3">
      <c r="A124" s="717"/>
      <c r="B124" s="717"/>
      <c r="C124" s="716"/>
      <c r="D124" s="716"/>
      <c r="E124" s="716"/>
      <c r="F124" s="716"/>
      <c r="G124" s="717"/>
      <c r="H124" s="708" t="s">
        <v>2239</v>
      </c>
      <c r="I124" s="1047">
        <f t="shared" ref="I124:BS124" si="241">+I125</f>
        <v>652465999.95999086</v>
      </c>
      <c r="J124" s="1047">
        <f t="shared" si="241"/>
        <v>542465999.95999074</v>
      </c>
      <c r="K124" s="1047">
        <f t="shared" si="241"/>
        <v>502296173.83999997</v>
      </c>
      <c r="L124" s="1047">
        <f t="shared" si="241"/>
        <v>477698174</v>
      </c>
      <c r="M124" s="1047">
        <f t="shared" si="241"/>
        <v>385165366.00000006</v>
      </c>
      <c r="N124" s="1047">
        <f t="shared" si="241"/>
        <v>0</v>
      </c>
      <c r="O124" s="1047">
        <f t="shared" si="241"/>
        <v>0</v>
      </c>
      <c r="P124" s="1047">
        <f t="shared" si="241"/>
        <v>0</v>
      </c>
      <c r="Q124" s="1047">
        <f t="shared" si="241"/>
        <v>0</v>
      </c>
      <c r="R124" s="1047">
        <f t="shared" si="241"/>
        <v>0</v>
      </c>
      <c r="S124" s="1047">
        <f t="shared" si="241"/>
        <v>0</v>
      </c>
      <c r="T124" s="1047">
        <f t="shared" si="241"/>
        <v>0</v>
      </c>
      <c r="U124" s="1047">
        <f t="shared" si="241"/>
        <v>0</v>
      </c>
      <c r="V124" s="1047">
        <f t="shared" si="241"/>
        <v>0</v>
      </c>
      <c r="W124" s="1047">
        <f t="shared" si="241"/>
        <v>0</v>
      </c>
      <c r="X124" s="1047">
        <f t="shared" si="241"/>
        <v>0</v>
      </c>
      <c r="Y124" s="1047">
        <f t="shared" si="241"/>
        <v>0</v>
      </c>
      <c r="Z124" s="1047">
        <f t="shared" si="241"/>
        <v>0</v>
      </c>
      <c r="AA124" s="1047">
        <f t="shared" si="241"/>
        <v>0</v>
      </c>
      <c r="AB124" s="1047">
        <f t="shared" si="241"/>
        <v>0</v>
      </c>
      <c r="AC124" s="1047">
        <f t="shared" si="241"/>
        <v>0</v>
      </c>
      <c r="AD124" s="1047">
        <f t="shared" si="241"/>
        <v>0</v>
      </c>
      <c r="AE124" s="1047">
        <f t="shared" si="241"/>
        <v>0</v>
      </c>
      <c r="AF124" s="1047">
        <f t="shared" si="241"/>
        <v>0</v>
      </c>
      <c r="AG124" s="1047">
        <f t="shared" si="241"/>
        <v>0</v>
      </c>
      <c r="AH124" s="1047">
        <f t="shared" si="241"/>
        <v>0</v>
      </c>
      <c r="AI124" s="1047">
        <f t="shared" si="241"/>
        <v>0</v>
      </c>
      <c r="AJ124" s="1047">
        <f t="shared" si="241"/>
        <v>0</v>
      </c>
      <c r="AK124" s="1047">
        <f t="shared" si="241"/>
        <v>0</v>
      </c>
      <c r="AL124" s="1047">
        <f t="shared" si="241"/>
        <v>0</v>
      </c>
      <c r="AM124" s="1047">
        <f t="shared" si="241"/>
        <v>0</v>
      </c>
      <c r="AN124" s="1047">
        <f t="shared" si="241"/>
        <v>0</v>
      </c>
      <c r="AO124" s="1047">
        <f t="shared" si="241"/>
        <v>0</v>
      </c>
      <c r="AP124" s="1047">
        <f t="shared" si="241"/>
        <v>0</v>
      </c>
      <c r="AQ124" s="1047">
        <f t="shared" si="241"/>
        <v>0</v>
      </c>
      <c r="AR124" s="1047">
        <f t="shared" si="241"/>
        <v>0</v>
      </c>
      <c r="AS124" s="1047">
        <f t="shared" si="241"/>
        <v>0</v>
      </c>
      <c r="AT124" s="1047">
        <f t="shared" si="241"/>
        <v>0</v>
      </c>
      <c r="AU124" s="1047">
        <f t="shared" si="241"/>
        <v>0</v>
      </c>
      <c r="AV124" s="1047">
        <f t="shared" si="241"/>
        <v>0</v>
      </c>
      <c r="AW124" s="1047">
        <f t="shared" si="241"/>
        <v>0</v>
      </c>
      <c r="AX124" s="1047">
        <f t="shared" si="241"/>
        <v>0</v>
      </c>
      <c r="AY124" s="1047">
        <f t="shared" si="241"/>
        <v>0</v>
      </c>
      <c r="AZ124" s="1047">
        <f t="shared" si="241"/>
        <v>0</v>
      </c>
      <c r="BA124" s="1047">
        <f t="shared" si="241"/>
        <v>0</v>
      </c>
      <c r="BB124" s="1047">
        <f t="shared" si="241"/>
        <v>0</v>
      </c>
      <c r="BC124" s="1047">
        <f t="shared" si="241"/>
        <v>0</v>
      </c>
      <c r="BD124" s="1047">
        <f t="shared" si="241"/>
        <v>0</v>
      </c>
      <c r="BE124" s="1047">
        <f t="shared" si="241"/>
        <v>0</v>
      </c>
      <c r="BF124" s="1047">
        <f t="shared" si="241"/>
        <v>0</v>
      </c>
      <c r="BG124" s="1047">
        <f t="shared" si="241"/>
        <v>0</v>
      </c>
      <c r="BH124" s="1047">
        <f t="shared" si="241"/>
        <v>0</v>
      </c>
      <c r="BI124" s="1047">
        <f t="shared" si="241"/>
        <v>0</v>
      </c>
      <c r="BJ124" s="1047">
        <f t="shared" si="241"/>
        <v>0</v>
      </c>
      <c r="BK124" s="1047">
        <f t="shared" si="241"/>
        <v>0</v>
      </c>
      <c r="BL124" s="1047">
        <f t="shared" si="241"/>
        <v>0</v>
      </c>
      <c r="BM124" s="1047">
        <f t="shared" si="241"/>
        <v>0</v>
      </c>
      <c r="BN124" s="1047">
        <f t="shared" si="241"/>
        <v>0</v>
      </c>
      <c r="BO124" s="1047">
        <f t="shared" si="241"/>
        <v>0</v>
      </c>
      <c r="BP124" s="1047">
        <f t="shared" si="241"/>
        <v>0</v>
      </c>
      <c r="BQ124" s="1047">
        <f t="shared" si="241"/>
        <v>0</v>
      </c>
      <c r="BR124" s="1047">
        <f t="shared" si="241"/>
        <v>0</v>
      </c>
      <c r="BS124" s="1047">
        <f t="shared" si="241"/>
        <v>0</v>
      </c>
      <c r="BT124" s="1047">
        <f t="shared" ref="BT124:CC124" si="242">+BT125</f>
        <v>0</v>
      </c>
      <c r="BU124" s="1047">
        <f t="shared" si="242"/>
        <v>0</v>
      </c>
      <c r="BV124" s="1047">
        <f t="shared" si="242"/>
        <v>110000000</v>
      </c>
      <c r="BW124" s="1047">
        <f t="shared" si="242"/>
        <v>110000000</v>
      </c>
      <c r="BX124" s="1047">
        <f t="shared" si="242"/>
        <v>110000000</v>
      </c>
      <c r="BY124" s="1047">
        <f t="shared" si="242"/>
        <v>110000000</v>
      </c>
      <c r="BZ124" s="1047">
        <f t="shared" si="242"/>
        <v>0</v>
      </c>
      <c r="CA124" s="1047">
        <f t="shared" si="242"/>
        <v>0</v>
      </c>
      <c r="CB124" s="1047">
        <f t="shared" si="242"/>
        <v>0</v>
      </c>
      <c r="CC124" s="1047">
        <f t="shared" si="242"/>
        <v>0</v>
      </c>
      <c r="CD124" s="1197">
        <f t="shared" si="197"/>
        <v>652465999.95999074</v>
      </c>
      <c r="CE124" s="1197">
        <f t="shared" ref="CE124:CE155" si="243">+K124+O124+S124+W124+AA124+AE124+AI124+AM124+AQ124+AU124+AY124+BC124+BG124+BK124+BO124+BS124+BW124+CA124</f>
        <v>612296173.83999991</v>
      </c>
      <c r="CF124" s="1197">
        <f>+CF125</f>
        <v>587698174</v>
      </c>
      <c r="CG124" s="1197">
        <f>+CG125</f>
        <v>495165366</v>
      </c>
      <c r="CH124" s="709"/>
      <c r="CI124" s="758">
        <f t="shared" si="229"/>
        <v>0</v>
      </c>
    </row>
    <row r="125" spans="1:87" ht="27" thickTop="1" thickBot="1" x14ac:dyDescent="0.3">
      <c r="A125" s="710"/>
      <c r="B125" s="710"/>
      <c r="C125" s="711"/>
      <c r="D125" s="711"/>
      <c r="E125" s="712"/>
      <c r="F125" s="712"/>
      <c r="G125" s="710"/>
      <c r="H125" s="689" t="s">
        <v>2175</v>
      </c>
      <c r="I125" s="1048">
        <f t="shared" ref="I125:BS125" si="244">+SUM(I126:I132)</f>
        <v>652465999.95999086</v>
      </c>
      <c r="J125" s="1048">
        <f t="shared" si="244"/>
        <v>542465999.95999074</v>
      </c>
      <c r="K125" s="1048">
        <f t="shared" si="244"/>
        <v>502296173.83999997</v>
      </c>
      <c r="L125" s="1048">
        <f t="shared" si="244"/>
        <v>477698174</v>
      </c>
      <c r="M125" s="1048">
        <f t="shared" si="244"/>
        <v>385165366.00000006</v>
      </c>
      <c r="N125" s="1048">
        <f t="shared" si="244"/>
        <v>0</v>
      </c>
      <c r="O125" s="1048">
        <f t="shared" si="244"/>
        <v>0</v>
      </c>
      <c r="P125" s="1048">
        <f t="shared" si="244"/>
        <v>0</v>
      </c>
      <c r="Q125" s="1048">
        <f t="shared" si="244"/>
        <v>0</v>
      </c>
      <c r="R125" s="1048">
        <f t="shared" si="244"/>
        <v>0</v>
      </c>
      <c r="S125" s="1048">
        <f t="shared" si="244"/>
        <v>0</v>
      </c>
      <c r="T125" s="1048">
        <f t="shared" si="244"/>
        <v>0</v>
      </c>
      <c r="U125" s="1048">
        <f t="shared" si="244"/>
        <v>0</v>
      </c>
      <c r="V125" s="1048">
        <f t="shared" si="244"/>
        <v>0</v>
      </c>
      <c r="W125" s="1048">
        <f t="shared" si="244"/>
        <v>0</v>
      </c>
      <c r="X125" s="1048">
        <f t="shared" si="244"/>
        <v>0</v>
      </c>
      <c r="Y125" s="1048">
        <f t="shared" si="244"/>
        <v>0</v>
      </c>
      <c r="Z125" s="1048">
        <f t="shared" si="244"/>
        <v>0</v>
      </c>
      <c r="AA125" s="1048">
        <f t="shared" si="244"/>
        <v>0</v>
      </c>
      <c r="AB125" s="1048">
        <f t="shared" si="244"/>
        <v>0</v>
      </c>
      <c r="AC125" s="1048">
        <f t="shared" si="244"/>
        <v>0</v>
      </c>
      <c r="AD125" s="1048">
        <f t="shared" si="244"/>
        <v>0</v>
      </c>
      <c r="AE125" s="1048">
        <f t="shared" si="244"/>
        <v>0</v>
      </c>
      <c r="AF125" s="1048">
        <f t="shared" si="244"/>
        <v>0</v>
      </c>
      <c r="AG125" s="1048">
        <f t="shared" si="244"/>
        <v>0</v>
      </c>
      <c r="AH125" s="1048">
        <f t="shared" si="244"/>
        <v>0</v>
      </c>
      <c r="AI125" s="1048">
        <f t="shared" si="244"/>
        <v>0</v>
      </c>
      <c r="AJ125" s="1048">
        <f t="shared" si="244"/>
        <v>0</v>
      </c>
      <c r="AK125" s="1048">
        <f t="shared" si="244"/>
        <v>0</v>
      </c>
      <c r="AL125" s="1048">
        <f t="shared" si="244"/>
        <v>0</v>
      </c>
      <c r="AM125" s="1048">
        <f t="shared" si="244"/>
        <v>0</v>
      </c>
      <c r="AN125" s="1048">
        <f t="shared" si="244"/>
        <v>0</v>
      </c>
      <c r="AO125" s="1048">
        <f t="shared" si="244"/>
        <v>0</v>
      </c>
      <c r="AP125" s="1048">
        <f t="shared" si="244"/>
        <v>0</v>
      </c>
      <c r="AQ125" s="1048">
        <f t="shared" si="244"/>
        <v>0</v>
      </c>
      <c r="AR125" s="1048">
        <f t="shared" si="244"/>
        <v>0</v>
      </c>
      <c r="AS125" s="1048">
        <f t="shared" si="244"/>
        <v>0</v>
      </c>
      <c r="AT125" s="1048">
        <f t="shared" si="244"/>
        <v>0</v>
      </c>
      <c r="AU125" s="1048">
        <f t="shared" si="244"/>
        <v>0</v>
      </c>
      <c r="AV125" s="1048">
        <f t="shared" si="244"/>
        <v>0</v>
      </c>
      <c r="AW125" s="1048">
        <f t="shared" si="244"/>
        <v>0</v>
      </c>
      <c r="AX125" s="1048">
        <f t="shared" si="244"/>
        <v>0</v>
      </c>
      <c r="AY125" s="1048">
        <f t="shared" si="244"/>
        <v>0</v>
      </c>
      <c r="AZ125" s="1048">
        <f t="shared" si="244"/>
        <v>0</v>
      </c>
      <c r="BA125" s="1048">
        <f t="shared" si="244"/>
        <v>0</v>
      </c>
      <c r="BB125" s="1048">
        <f t="shared" si="244"/>
        <v>0</v>
      </c>
      <c r="BC125" s="1048">
        <f t="shared" si="244"/>
        <v>0</v>
      </c>
      <c r="BD125" s="1048">
        <f t="shared" si="244"/>
        <v>0</v>
      </c>
      <c r="BE125" s="1048">
        <f t="shared" si="244"/>
        <v>0</v>
      </c>
      <c r="BF125" s="1048">
        <f t="shared" si="244"/>
        <v>0</v>
      </c>
      <c r="BG125" s="1048">
        <f t="shared" si="244"/>
        <v>0</v>
      </c>
      <c r="BH125" s="1048">
        <f t="shared" si="244"/>
        <v>0</v>
      </c>
      <c r="BI125" s="1048">
        <f t="shared" si="244"/>
        <v>0</v>
      </c>
      <c r="BJ125" s="1048">
        <f t="shared" si="244"/>
        <v>0</v>
      </c>
      <c r="BK125" s="1048">
        <f t="shared" si="244"/>
        <v>0</v>
      </c>
      <c r="BL125" s="1048">
        <f t="shared" si="244"/>
        <v>0</v>
      </c>
      <c r="BM125" s="1048">
        <f t="shared" si="244"/>
        <v>0</v>
      </c>
      <c r="BN125" s="1048">
        <f t="shared" si="244"/>
        <v>0</v>
      </c>
      <c r="BO125" s="1048">
        <f t="shared" si="244"/>
        <v>0</v>
      </c>
      <c r="BP125" s="1048">
        <f t="shared" si="244"/>
        <v>0</v>
      </c>
      <c r="BQ125" s="1048">
        <f t="shared" si="244"/>
        <v>0</v>
      </c>
      <c r="BR125" s="1048">
        <f t="shared" si="244"/>
        <v>0</v>
      </c>
      <c r="BS125" s="1048">
        <f t="shared" si="244"/>
        <v>0</v>
      </c>
      <c r="BT125" s="1048">
        <f t="shared" ref="BT125:CC125" si="245">+SUM(BT126:BT132)</f>
        <v>0</v>
      </c>
      <c r="BU125" s="1048">
        <f t="shared" si="245"/>
        <v>0</v>
      </c>
      <c r="BV125" s="1048">
        <f t="shared" si="245"/>
        <v>110000000</v>
      </c>
      <c r="BW125" s="1048">
        <f t="shared" si="245"/>
        <v>110000000</v>
      </c>
      <c r="BX125" s="1048">
        <f t="shared" si="245"/>
        <v>110000000</v>
      </c>
      <c r="BY125" s="1048">
        <f t="shared" si="245"/>
        <v>110000000</v>
      </c>
      <c r="BZ125" s="1048">
        <f t="shared" si="245"/>
        <v>0</v>
      </c>
      <c r="CA125" s="1048">
        <f t="shared" si="245"/>
        <v>0</v>
      </c>
      <c r="CB125" s="1048">
        <f t="shared" si="245"/>
        <v>0</v>
      </c>
      <c r="CC125" s="1048">
        <f t="shared" si="245"/>
        <v>0</v>
      </c>
      <c r="CD125" s="1198">
        <f t="shared" si="197"/>
        <v>652465999.95999074</v>
      </c>
      <c r="CE125" s="1198">
        <f t="shared" si="243"/>
        <v>612296173.83999991</v>
      </c>
      <c r="CF125" s="1198">
        <f>+'Anexo 5.2. infor Gastos mesa 55'!AA93</f>
        <v>587698174</v>
      </c>
      <c r="CG125" s="1198">
        <f>+'Anexo 5.2. infor Gastos mesa 55'!AB93</f>
        <v>495165366</v>
      </c>
      <c r="CH125" s="700"/>
      <c r="CI125" s="758">
        <f t="shared" si="229"/>
        <v>0</v>
      </c>
    </row>
    <row r="126" spans="1:87" ht="52.5" thickTop="1" thickBot="1" x14ac:dyDescent="0.3">
      <c r="A126" s="444"/>
      <c r="B126" s="444"/>
      <c r="C126" s="446"/>
      <c r="D126" s="446"/>
      <c r="E126" s="445"/>
      <c r="F126" s="445"/>
      <c r="G126" s="444"/>
      <c r="H126" s="686" t="s">
        <v>2450</v>
      </c>
      <c r="I126" s="1046">
        <v>150000000</v>
      </c>
      <c r="J126" s="687">
        <v>40000000</v>
      </c>
      <c r="K126" s="687">
        <v>40000000</v>
      </c>
      <c r="L126" s="687">
        <v>40000000</v>
      </c>
      <c r="M126" s="687">
        <v>40000000</v>
      </c>
      <c r="N126" s="687"/>
      <c r="O126" s="687"/>
      <c r="P126" s="687"/>
      <c r="Q126" s="687"/>
      <c r="R126" s="687"/>
      <c r="S126" s="687"/>
      <c r="T126" s="687"/>
      <c r="U126" s="687"/>
      <c r="V126" s="687"/>
      <c r="W126" s="687"/>
      <c r="X126" s="687"/>
      <c r="Y126" s="687"/>
      <c r="Z126" s="687"/>
      <c r="AA126" s="687"/>
      <c r="AB126" s="687"/>
      <c r="AC126" s="687"/>
      <c r="AD126" s="687"/>
      <c r="AE126" s="687"/>
      <c r="AF126" s="687"/>
      <c r="AG126" s="687"/>
      <c r="AH126" s="687"/>
      <c r="AI126" s="687"/>
      <c r="AJ126" s="687"/>
      <c r="AK126" s="687"/>
      <c r="AL126" s="687"/>
      <c r="AM126" s="687"/>
      <c r="AN126" s="687"/>
      <c r="AO126" s="687"/>
      <c r="AP126" s="687"/>
      <c r="AQ126" s="687"/>
      <c r="AR126" s="687"/>
      <c r="AS126" s="687"/>
      <c r="AT126" s="687"/>
      <c r="AU126" s="687"/>
      <c r="AV126" s="687"/>
      <c r="AW126" s="687"/>
      <c r="AX126" s="687"/>
      <c r="AY126" s="687"/>
      <c r="AZ126" s="687"/>
      <c r="BA126" s="687"/>
      <c r="BB126" s="687"/>
      <c r="BC126" s="687"/>
      <c r="BD126" s="687"/>
      <c r="BE126" s="687"/>
      <c r="BF126" s="687"/>
      <c r="BG126" s="687"/>
      <c r="BH126" s="687"/>
      <c r="BI126" s="687"/>
      <c r="BJ126" s="687"/>
      <c r="BK126" s="687"/>
      <c r="BL126" s="687"/>
      <c r="BM126" s="687"/>
      <c r="BN126" s="687"/>
      <c r="BO126" s="687"/>
      <c r="BP126" s="687"/>
      <c r="BQ126" s="687"/>
      <c r="BR126" s="687"/>
      <c r="BS126" s="687"/>
      <c r="BT126" s="687"/>
      <c r="BU126" s="687"/>
      <c r="BV126" s="687">
        <v>110000000</v>
      </c>
      <c r="BW126" s="687">
        <v>110000000</v>
      </c>
      <c r="BX126" s="687">
        <v>110000000</v>
      </c>
      <c r="BY126" s="687">
        <v>110000000</v>
      </c>
      <c r="BZ126" s="687"/>
      <c r="CA126" s="687"/>
      <c r="CB126" s="687"/>
      <c r="CC126" s="687"/>
      <c r="CD126" s="1199">
        <f t="shared" si="197"/>
        <v>150000000</v>
      </c>
      <c r="CE126" s="1199">
        <f t="shared" si="243"/>
        <v>150000000</v>
      </c>
      <c r="CF126" s="1200">
        <v>150000000</v>
      </c>
      <c r="CG126" s="1199">
        <f>+CF126</f>
        <v>150000000</v>
      </c>
      <c r="CH126" s="1189"/>
      <c r="CI126" s="758">
        <f t="shared" si="229"/>
        <v>0</v>
      </c>
    </row>
    <row r="127" spans="1:87" ht="39.75" thickTop="1" thickBot="1" x14ac:dyDescent="0.3">
      <c r="A127" s="444"/>
      <c r="B127" s="444"/>
      <c r="C127" s="446"/>
      <c r="D127" s="446"/>
      <c r="E127" s="445"/>
      <c r="F127" s="445"/>
      <c r="G127" s="444"/>
      <c r="H127" s="686" t="s">
        <v>2452</v>
      </c>
      <c r="I127" s="1046">
        <v>150000000</v>
      </c>
      <c r="J127" s="687">
        <v>150000000</v>
      </c>
      <c r="K127" s="687">
        <v>150000000</v>
      </c>
      <c r="L127" s="687">
        <v>150000000</v>
      </c>
      <c r="M127" s="687">
        <v>77010639.310000002</v>
      </c>
      <c r="N127" s="687"/>
      <c r="O127" s="687"/>
      <c r="P127" s="687"/>
      <c r="Q127" s="687"/>
      <c r="R127" s="687"/>
      <c r="S127" s="687"/>
      <c r="T127" s="687"/>
      <c r="U127" s="687"/>
      <c r="V127" s="687"/>
      <c r="W127" s="687"/>
      <c r="X127" s="687"/>
      <c r="Y127" s="687"/>
      <c r="Z127" s="687"/>
      <c r="AA127" s="687"/>
      <c r="AB127" s="687"/>
      <c r="AC127" s="687"/>
      <c r="AD127" s="687"/>
      <c r="AE127" s="687"/>
      <c r="AF127" s="687"/>
      <c r="AG127" s="687"/>
      <c r="AH127" s="687"/>
      <c r="AI127" s="687"/>
      <c r="AJ127" s="687"/>
      <c r="AK127" s="687"/>
      <c r="AL127" s="687"/>
      <c r="AM127" s="687"/>
      <c r="AN127" s="687"/>
      <c r="AO127" s="687"/>
      <c r="AP127" s="687"/>
      <c r="AQ127" s="687"/>
      <c r="AR127" s="687"/>
      <c r="AS127" s="687"/>
      <c r="AT127" s="687"/>
      <c r="AU127" s="687"/>
      <c r="AV127" s="687"/>
      <c r="AW127" s="687"/>
      <c r="AX127" s="687"/>
      <c r="AY127" s="687"/>
      <c r="AZ127" s="687"/>
      <c r="BA127" s="687"/>
      <c r="BB127" s="687"/>
      <c r="BC127" s="687"/>
      <c r="BD127" s="687"/>
      <c r="BE127" s="687"/>
      <c r="BF127" s="687"/>
      <c r="BG127" s="687"/>
      <c r="BH127" s="687"/>
      <c r="BI127" s="687"/>
      <c r="BJ127" s="687"/>
      <c r="BK127" s="687"/>
      <c r="BL127" s="687"/>
      <c r="BM127" s="687"/>
      <c r="BN127" s="687"/>
      <c r="BO127" s="687"/>
      <c r="BP127" s="687"/>
      <c r="BQ127" s="687"/>
      <c r="BR127" s="687"/>
      <c r="BS127" s="687"/>
      <c r="BT127" s="687"/>
      <c r="BU127" s="687"/>
      <c r="BV127" s="687"/>
      <c r="BW127" s="687"/>
      <c r="BX127" s="687"/>
      <c r="BY127" s="687"/>
      <c r="BZ127" s="687"/>
      <c r="CA127" s="687"/>
      <c r="CB127" s="687"/>
      <c r="CC127" s="687"/>
      <c r="CD127" s="1199">
        <f t="shared" si="197"/>
        <v>150000000</v>
      </c>
      <c r="CE127" s="1199">
        <f t="shared" si="243"/>
        <v>150000000</v>
      </c>
      <c r="CF127" s="1199">
        <v>150000000</v>
      </c>
      <c r="CG127" s="1199">
        <f>76950593.73+60045.58</f>
        <v>77010639.310000002</v>
      </c>
      <c r="CH127" s="1189"/>
      <c r="CI127" s="758">
        <f t="shared" si="229"/>
        <v>0</v>
      </c>
    </row>
    <row r="128" spans="1:87" ht="27" thickTop="1" thickBot="1" x14ac:dyDescent="0.3">
      <c r="A128" s="444"/>
      <c r="B128" s="444"/>
      <c r="C128" s="446"/>
      <c r="D128" s="446"/>
      <c r="E128" s="445"/>
      <c r="F128" s="445"/>
      <c r="G128" s="444"/>
      <c r="H128" s="686" t="s">
        <v>2454</v>
      </c>
      <c r="I128" s="1046">
        <v>270000000</v>
      </c>
      <c r="J128" s="687">
        <v>270000000</v>
      </c>
      <c r="K128" s="687">
        <v>253555336.73000002</v>
      </c>
      <c r="L128" s="687">
        <v>235113920.09000003</v>
      </c>
      <c r="M128" s="687">
        <v>235113920.09000003</v>
      </c>
      <c r="N128" s="687"/>
      <c r="O128" s="687"/>
      <c r="P128" s="687"/>
      <c r="Q128" s="687"/>
      <c r="R128" s="687"/>
      <c r="S128" s="687"/>
      <c r="T128" s="687"/>
      <c r="U128" s="687"/>
      <c r="V128" s="687"/>
      <c r="W128" s="687"/>
      <c r="X128" s="687"/>
      <c r="Y128" s="687"/>
      <c r="Z128" s="687"/>
      <c r="AA128" s="687"/>
      <c r="AB128" s="687"/>
      <c r="AC128" s="687"/>
      <c r="AD128" s="687"/>
      <c r="AE128" s="687"/>
      <c r="AF128" s="687"/>
      <c r="AG128" s="687"/>
      <c r="AH128" s="687"/>
      <c r="AI128" s="687"/>
      <c r="AJ128" s="687"/>
      <c r="AK128" s="687"/>
      <c r="AL128" s="687"/>
      <c r="AM128" s="687"/>
      <c r="AN128" s="687"/>
      <c r="AO128" s="687"/>
      <c r="AP128" s="687"/>
      <c r="AQ128" s="687"/>
      <c r="AR128" s="687"/>
      <c r="AS128" s="687"/>
      <c r="AT128" s="687"/>
      <c r="AU128" s="687"/>
      <c r="AV128" s="687"/>
      <c r="AW128" s="687"/>
      <c r="AX128" s="687"/>
      <c r="AY128" s="687"/>
      <c r="AZ128" s="687"/>
      <c r="BA128" s="687"/>
      <c r="BB128" s="687"/>
      <c r="BC128" s="687"/>
      <c r="BD128" s="687"/>
      <c r="BE128" s="687"/>
      <c r="BF128" s="687"/>
      <c r="BG128" s="687"/>
      <c r="BH128" s="687"/>
      <c r="BI128" s="687"/>
      <c r="BJ128" s="687"/>
      <c r="BK128" s="687"/>
      <c r="BL128" s="687"/>
      <c r="BM128" s="687"/>
      <c r="BN128" s="687"/>
      <c r="BO128" s="687"/>
      <c r="BP128" s="687"/>
      <c r="BQ128" s="687"/>
      <c r="BR128" s="687"/>
      <c r="BS128" s="687"/>
      <c r="BT128" s="687"/>
      <c r="BU128" s="687"/>
      <c r="BV128" s="687"/>
      <c r="BW128" s="687"/>
      <c r="BX128" s="687"/>
      <c r="BY128" s="687"/>
      <c r="BZ128" s="687"/>
      <c r="CA128" s="687"/>
      <c r="CB128" s="687"/>
      <c r="CC128" s="687"/>
      <c r="CD128" s="1199">
        <f t="shared" si="197"/>
        <v>270000000</v>
      </c>
      <c r="CE128" s="1199">
        <f t="shared" si="243"/>
        <v>253555336.73000002</v>
      </c>
      <c r="CF128" s="1199">
        <f>5141052.28+230032913.39-60045.58</f>
        <v>235113920.08999997</v>
      </c>
      <c r="CG128" s="1199">
        <f>+CF128</f>
        <v>235113920.08999997</v>
      </c>
      <c r="CH128" s="439"/>
      <c r="CI128" s="758">
        <f t="shared" si="229"/>
        <v>0</v>
      </c>
    </row>
    <row r="129" spans="1:88" ht="27" thickTop="1" thickBot="1" x14ac:dyDescent="0.3">
      <c r="A129" s="444"/>
      <c r="B129" s="444"/>
      <c r="C129" s="446"/>
      <c r="D129" s="446"/>
      <c r="E129" s="445"/>
      <c r="F129" s="445"/>
      <c r="G129" s="444"/>
      <c r="H129" s="686" t="s">
        <v>2456</v>
      </c>
      <c r="I129" s="1046">
        <v>34904528.780000001</v>
      </c>
      <c r="J129" s="687">
        <v>34904528.780000001</v>
      </c>
      <c r="K129" s="687">
        <v>34904528.780000001</v>
      </c>
      <c r="L129" s="687">
        <v>34904528.780000001</v>
      </c>
      <c r="M129" s="687">
        <v>31731389.800000001</v>
      </c>
      <c r="N129" s="687"/>
      <c r="O129" s="687"/>
      <c r="P129" s="687"/>
      <c r="Q129" s="687"/>
      <c r="R129" s="687"/>
      <c r="S129" s="687"/>
      <c r="T129" s="687"/>
      <c r="U129" s="687"/>
      <c r="V129" s="687"/>
      <c r="W129" s="687"/>
      <c r="X129" s="687"/>
      <c r="Y129" s="687"/>
      <c r="Z129" s="687"/>
      <c r="AA129" s="687"/>
      <c r="AB129" s="687"/>
      <c r="AC129" s="687"/>
      <c r="AD129" s="687"/>
      <c r="AE129" s="687"/>
      <c r="AF129" s="687"/>
      <c r="AG129" s="687"/>
      <c r="AH129" s="687"/>
      <c r="AI129" s="687"/>
      <c r="AJ129" s="687"/>
      <c r="AK129" s="687"/>
      <c r="AL129" s="687"/>
      <c r="AM129" s="687"/>
      <c r="AN129" s="687"/>
      <c r="AO129" s="687"/>
      <c r="AP129" s="687"/>
      <c r="AQ129" s="687"/>
      <c r="AR129" s="687"/>
      <c r="AS129" s="687"/>
      <c r="AT129" s="687"/>
      <c r="AU129" s="687"/>
      <c r="AV129" s="687"/>
      <c r="AW129" s="687"/>
      <c r="AX129" s="687"/>
      <c r="AY129" s="687"/>
      <c r="AZ129" s="687"/>
      <c r="BA129" s="687"/>
      <c r="BB129" s="687"/>
      <c r="BC129" s="687"/>
      <c r="BD129" s="687"/>
      <c r="BE129" s="687"/>
      <c r="BF129" s="687"/>
      <c r="BG129" s="687"/>
      <c r="BH129" s="687"/>
      <c r="BI129" s="687"/>
      <c r="BJ129" s="687"/>
      <c r="BK129" s="687"/>
      <c r="BL129" s="687"/>
      <c r="BM129" s="687"/>
      <c r="BN129" s="687"/>
      <c r="BO129" s="687"/>
      <c r="BP129" s="687"/>
      <c r="BQ129" s="687"/>
      <c r="BR129" s="687"/>
      <c r="BS129" s="687"/>
      <c r="BT129" s="687"/>
      <c r="BU129" s="687"/>
      <c r="BV129" s="687"/>
      <c r="BW129" s="687"/>
      <c r="BX129" s="687"/>
      <c r="BY129" s="687"/>
      <c r="BZ129" s="687"/>
      <c r="CA129" s="687"/>
      <c r="CB129" s="687"/>
      <c r="CC129" s="687"/>
      <c r="CD129" s="1199">
        <f t="shared" si="197"/>
        <v>34904528.780000001</v>
      </c>
      <c r="CE129" s="1199">
        <f t="shared" si="243"/>
        <v>34904528.780000001</v>
      </c>
      <c r="CF129" s="1199">
        <v>34904528.780000001</v>
      </c>
      <c r="CG129" s="1199">
        <v>31731389.800000001</v>
      </c>
      <c r="CH129" s="439"/>
      <c r="CI129" s="758">
        <f t="shared" si="229"/>
        <v>0</v>
      </c>
    </row>
    <row r="130" spans="1:88" ht="27" thickTop="1" thickBot="1" x14ac:dyDescent="0.3">
      <c r="A130" s="444"/>
      <c r="B130" s="444"/>
      <c r="C130" s="446"/>
      <c r="D130" s="446"/>
      <c r="E130" s="445"/>
      <c r="F130" s="445"/>
      <c r="G130" s="444"/>
      <c r="H130" s="686" t="s">
        <v>2458</v>
      </c>
      <c r="I130" s="1046">
        <v>16370308.33</v>
      </c>
      <c r="J130" s="687">
        <v>16370308.33</v>
      </c>
      <c r="K130" s="687">
        <v>16370308.33</v>
      </c>
      <c r="L130" s="687">
        <v>16370308.33</v>
      </c>
      <c r="M130" s="687">
        <v>0</v>
      </c>
      <c r="N130" s="687"/>
      <c r="O130" s="687"/>
      <c r="P130" s="687"/>
      <c r="Q130" s="687"/>
      <c r="R130" s="687"/>
      <c r="S130" s="687"/>
      <c r="T130" s="687"/>
      <c r="U130" s="687"/>
      <c r="V130" s="687"/>
      <c r="W130" s="687"/>
      <c r="X130" s="687"/>
      <c r="Y130" s="687"/>
      <c r="Z130" s="687"/>
      <c r="AA130" s="687"/>
      <c r="AB130" s="687"/>
      <c r="AC130" s="687"/>
      <c r="AD130" s="687"/>
      <c r="AE130" s="687"/>
      <c r="AF130" s="687"/>
      <c r="AG130" s="687"/>
      <c r="AH130" s="687"/>
      <c r="AI130" s="687"/>
      <c r="AJ130" s="687"/>
      <c r="AK130" s="687"/>
      <c r="AL130" s="687"/>
      <c r="AM130" s="687"/>
      <c r="AN130" s="687"/>
      <c r="AO130" s="687"/>
      <c r="AP130" s="687"/>
      <c r="AQ130" s="687"/>
      <c r="AR130" s="687"/>
      <c r="AS130" s="687"/>
      <c r="AT130" s="687"/>
      <c r="AU130" s="687"/>
      <c r="AV130" s="687"/>
      <c r="AW130" s="687"/>
      <c r="AX130" s="687"/>
      <c r="AY130" s="687"/>
      <c r="AZ130" s="687"/>
      <c r="BA130" s="687"/>
      <c r="BB130" s="687"/>
      <c r="BC130" s="687"/>
      <c r="BD130" s="687"/>
      <c r="BE130" s="687"/>
      <c r="BF130" s="687"/>
      <c r="BG130" s="687"/>
      <c r="BH130" s="687"/>
      <c r="BI130" s="687"/>
      <c r="BJ130" s="687"/>
      <c r="BK130" s="687"/>
      <c r="BL130" s="687"/>
      <c r="BM130" s="687"/>
      <c r="BN130" s="687"/>
      <c r="BO130" s="687"/>
      <c r="BP130" s="687"/>
      <c r="BQ130" s="687"/>
      <c r="BR130" s="687"/>
      <c r="BS130" s="687"/>
      <c r="BT130" s="687"/>
      <c r="BU130" s="687"/>
      <c r="BV130" s="687"/>
      <c r="BW130" s="687"/>
      <c r="BX130" s="687"/>
      <c r="BY130" s="687"/>
      <c r="BZ130" s="687"/>
      <c r="CA130" s="687"/>
      <c r="CB130" s="687"/>
      <c r="CC130" s="687"/>
      <c r="CD130" s="1199">
        <f t="shared" si="197"/>
        <v>16370308.33</v>
      </c>
      <c r="CE130" s="1199">
        <f t="shared" si="243"/>
        <v>16370308.33</v>
      </c>
      <c r="CF130" s="1199">
        <v>16370308.33</v>
      </c>
      <c r="CG130" s="1201"/>
      <c r="CH130" s="439"/>
      <c r="CI130" s="758">
        <f t="shared" si="229"/>
        <v>0</v>
      </c>
    </row>
    <row r="131" spans="1:88" ht="27" thickTop="1" thickBot="1" x14ac:dyDescent="0.3">
      <c r="A131" s="444"/>
      <c r="B131" s="444"/>
      <c r="C131" s="446"/>
      <c r="D131" s="446"/>
      <c r="E131" s="445"/>
      <c r="F131" s="445"/>
      <c r="G131" s="444"/>
      <c r="H131" s="686" t="s">
        <v>2459</v>
      </c>
      <c r="I131" s="1046">
        <v>7466000</v>
      </c>
      <c r="J131" s="687">
        <v>7466000</v>
      </c>
      <c r="K131" s="687">
        <v>7466000</v>
      </c>
      <c r="L131" s="687">
        <v>1309416.7999999998</v>
      </c>
      <c r="M131" s="687">
        <v>1309416.7999999998</v>
      </c>
      <c r="N131" s="687"/>
      <c r="O131" s="687"/>
      <c r="P131" s="687"/>
      <c r="Q131" s="687"/>
      <c r="R131" s="687"/>
      <c r="S131" s="687"/>
      <c r="T131" s="687"/>
      <c r="U131" s="687"/>
      <c r="V131" s="687"/>
      <c r="W131" s="687"/>
      <c r="X131" s="687"/>
      <c r="Y131" s="687"/>
      <c r="Z131" s="687"/>
      <c r="AA131" s="687"/>
      <c r="AB131" s="687"/>
      <c r="AC131" s="687"/>
      <c r="AD131" s="687"/>
      <c r="AE131" s="687"/>
      <c r="AF131" s="687"/>
      <c r="AG131" s="687"/>
      <c r="AH131" s="687"/>
      <c r="AI131" s="687"/>
      <c r="AJ131" s="687"/>
      <c r="AK131" s="687"/>
      <c r="AL131" s="687"/>
      <c r="AM131" s="687"/>
      <c r="AN131" s="687"/>
      <c r="AO131" s="687"/>
      <c r="AP131" s="687"/>
      <c r="AQ131" s="687"/>
      <c r="AR131" s="687"/>
      <c r="AS131" s="687"/>
      <c r="AT131" s="687"/>
      <c r="AU131" s="687"/>
      <c r="AV131" s="687"/>
      <c r="AW131" s="687"/>
      <c r="AX131" s="687"/>
      <c r="AY131" s="687"/>
      <c r="AZ131" s="687"/>
      <c r="BA131" s="687"/>
      <c r="BB131" s="687"/>
      <c r="BC131" s="687"/>
      <c r="BD131" s="687"/>
      <c r="BE131" s="687"/>
      <c r="BF131" s="687"/>
      <c r="BG131" s="687"/>
      <c r="BH131" s="687"/>
      <c r="BI131" s="687"/>
      <c r="BJ131" s="687"/>
      <c r="BK131" s="687"/>
      <c r="BL131" s="687"/>
      <c r="BM131" s="687"/>
      <c r="BN131" s="687"/>
      <c r="BO131" s="687"/>
      <c r="BP131" s="687"/>
      <c r="BQ131" s="687"/>
      <c r="BR131" s="687"/>
      <c r="BS131" s="687"/>
      <c r="BT131" s="687"/>
      <c r="BU131" s="687"/>
      <c r="BV131" s="687"/>
      <c r="BW131" s="687"/>
      <c r="BX131" s="687"/>
      <c r="BY131" s="687"/>
      <c r="BZ131" s="687"/>
      <c r="CA131" s="687"/>
      <c r="CB131" s="687"/>
      <c r="CC131" s="687"/>
      <c r="CD131" s="1199">
        <f t="shared" si="197"/>
        <v>7466000</v>
      </c>
      <c r="CE131" s="1199">
        <f t="shared" si="243"/>
        <v>7466000</v>
      </c>
      <c r="CF131" s="1199">
        <v>1309416.8</v>
      </c>
      <c r="CG131" s="1199">
        <f>+CF131</f>
        <v>1309416.8</v>
      </c>
      <c r="CH131" s="439"/>
      <c r="CI131" s="758">
        <f t="shared" ref="CI131:CI155" si="246">+I131-CD131</f>
        <v>0</v>
      </c>
    </row>
    <row r="132" spans="1:88" ht="78" thickTop="1" thickBot="1" x14ac:dyDescent="0.3">
      <c r="A132" s="444"/>
      <c r="B132" s="444"/>
      <c r="C132" s="446"/>
      <c r="D132" s="446"/>
      <c r="E132" s="445"/>
      <c r="F132" s="445"/>
      <c r="G132" s="444"/>
      <c r="H132" s="686" t="s">
        <v>2625</v>
      </c>
      <c r="I132" s="1046">
        <v>23725162.8499908</v>
      </c>
      <c r="J132" s="687">
        <v>23725162.8499908</v>
      </c>
      <c r="K132" s="687"/>
      <c r="L132" s="687">
        <v>0</v>
      </c>
      <c r="M132" s="687">
        <v>0</v>
      </c>
      <c r="N132" s="687"/>
      <c r="O132" s="687"/>
      <c r="P132" s="687"/>
      <c r="Q132" s="687"/>
      <c r="R132" s="687"/>
      <c r="S132" s="687"/>
      <c r="T132" s="687"/>
      <c r="U132" s="687"/>
      <c r="V132" s="687"/>
      <c r="W132" s="687"/>
      <c r="X132" s="687"/>
      <c r="Y132" s="687"/>
      <c r="Z132" s="687"/>
      <c r="AA132" s="687"/>
      <c r="AB132" s="687"/>
      <c r="AC132" s="687"/>
      <c r="AD132" s="687"/>
      <c r="AE132" s="687"/>
      <c r="AF132" s="687"/>
      <c r="AG132" s="687"/>
      <c r="AH132" s="687"/>
      <c r="AI132" s="687"/>
      <c r="AJ132" s="687"/>
      <c r="AK132" s="687"/>
      <c r="AL132" s="687"/>
      <c r="AM132" s="687"/>
      <c r="AN132" s="687"/>
      <c r="AO132" s="687"/>
      <c r="AP132" s="687"/>
      <c r="AQ132" s="687"/>
      <c r="AR132" s="687"/>
      <c r="AS132" s="687"/>
      <c r="AT132" s="687"/>
      <c r="AU132" s="687"/>
      <c r="AV132" s="687"/>
      <c r="AW132" s="687"/>
      <c r="AX132" s="687"/>
      <c r="AY132" s="687"/>
      <c r="AZ132" s="687"/>
      <c r="BA132" s="687"/>
      <c r="BB132" s="687"/>
      <c r="BC132" s="687"/>
      <c r="BD132" s="687"/>
      <c r="BE132" s="687"/>
      <c r="BF132" s="687"/>
      <c r="BG132" s="687"/>
      <c r="BH132" s="687"/>
      <c r="BI132" s="687"/>
      <c r="BJ132" s="687"/>
      <c r="BK132" s="687"/>
      <c r="BL132" s="687"/>
      <c r="BM132" s="687"/>
      <c r="BN132" s="687"/>
      <c r="BO132" s="687"/>
      <c r="BP132" s="687"/>
      <c r="BQ132" s="687"/>
      <c r="BR132" s="687"/>
      <c r="BS132" s="687"/>
      <c r="BT132" s="687"/>
      <c r="BU132" s="687"/>
      <c r="BV132" s="687"/>
      <c r="BW132" s="687"/>
      <c r="BX132" s="687"/>
      <c r="BY132" s="687"/>
      <c r="BZ132" s="687"/>
      <c r="CA132" s="687"/>
      <c r="CB132" s="687"/>
      <c r="CC132" s="687"/>
      <c r="CD132" s="1199">
        <f>+J132+N132+R132+V132+Z132+AD132+AH132+AL132+AP132+AT132+AX132+BB132+BF132+BJ132+BN132+BR132+BV132+BZ132</f>
        <v>23725162.8499908</v>
      </c>
      <c r="CE132" s="1199">
        <f t="shared" si="243"/>
        <v>0</v>
      </c>
      <c r="CF132" s="1199"/>
      <c r="CG132" s="1201"/>
      <c r="CH132" s="439"/>
      <c r="CI132" s="758">
        <f t="shared" si="246"/>
        <v>0</v>
      </c>
      <c r="CJ132">
        <v>0</v>
      </c>
    </row>
    <row r="133" spans="1:88" ht="27" thickTop="1" thickBot="1" x14ac:dyDescent="0.3">
      <c r="A133" s="717"/>
      <c r="B133" s="717"/>
      <c r="C133" s="716"/>
      <c r="D133" s="716"/>
      <c r="E133" s="716"/>
      <c r="F133" s="716"/>
      <c r="G133" s="717"/>
      <c r="H133" s="708" t="s">
        <v>2240</v>
      </c>
      <c r="I133" s="1047">
        <f>+I134</f>
        <v>7295232859</v>
      </c>
      <c r="J133" s="1047">
        <f>+J134</f>
        <v>3515000000</v>
      </c>
      <c r="K133" s="1047">
        <f t="shared" ref="K133:CA133" si="247">+K134</f>
        <v>3515000000</v>
      </c>
      <c r="L133" s="1047">
        <f t="shared" si="247"/>
        <v>2166722831.3299999</v>
      </c>
      <c r="M133" s="1047">
        <f t="shared" si="247"/>
        <v>1881498199.0000002</v>
      </c>
      <c r="N133" s="1047">
        <f t="shared" si="247"/>
        <v>1300000000</v>
      </c>
      <c r="O133" s="1047">
        <f t="shared" si="247"/>
        <v>1300000000</v>
      </c>
      <c r="P133" s="1047">
        <f t="shared" si="247"/>
        <v>1300000000</v>
      </c>
      <c r="Q133" s="1047">
        <f t="shared" si="247"/>
        <v>1300000000</v>
      </c>
      <c r="R133" s="1047">
        <f t="shared" si="247"/>
        <v>433558000</v>
      </c>
      <c r="S133" s="1047">
        <f t="shared" si="247"/>
        <v>433558000</v>
      </c>
      <c r="T133" s="1047">
        <f t="shared" si="247"/>
        <v>139061271.75</v>
      </c>
      <c r="U133" s="1047">
        <f t="shared" si="247"/>
        <v>139061271.75</v>
      </c>
      <c r="V133" s="1047">
        <f t="shared" si="247"/>
        <v>0</v>
      </c>
      <c r="W133" s="1047">
        <f t="shared" si="247"/>
        <v>0</v>
      </c>
      <c r="X133" s="1047">
        <f t="shared" si="247"/>
        <v>0</v>
      </c>
      <c r="Y133" s="1047">
        <f t="shared" si="247"/>
        <v>0</v>
      </c>
      <c r="Z133" s="1047">
        <f t="shared" si="247"/>
        <v>0</v>
      </c>
      <c r="AA133" s="1047">
        <f t="shared" si="247"/>
        <v>0</v>
      </c>
      <c r="AB133" s="1047">
        <f t="shared" si="247"/>
        <v>0</v>
      </c>
      <c r="AC133" s="1047">
        <f t="shared" si="247"/>
        <v>0</v>
      </c>
      <c r="AD133" s="1047">
        <f t="shared" si="247"/>
        <v>0</v>
      </c>
      <c r="AE133" s="1047">
        <f t="shared" si="247"/>
        <v>0</v>
      </c>
      <c r="AF133" s="1047">
        <f t="shared" si="247"/>
        <v>0</v>
      </c>
      <c r="AG133" s="1047">
        <f t="shared" si="247"/>
        <v>0</v>
      </c>
      <c r="AH133" s="1047">
        <f t="shared" si="247"/>
        <v>0</v>
      </c>
      <c r="AI133" s="1047">
        <f t="shared" si="247"/>
        <v>0</v>
      </c>
      <c r="AJ133" s="1047">
        <f t="shared" si="247"/>
        <v>0</v>
      </c>
      <c r="AK133" s="1047">
        <f t="shared" si="247"/>
        <v>0</v>
      </c>
      <c r="AL133" s="1047">
        <f t="shared" si="247"/>
        <v>0</v>
      </c>
      <c r="AM133" s="1047">
        <f t="shared" si="247"/>
        <v>0</v>
      </c>
      <c r="AN133" s="1047">
        <f t="shared" si="247"/>
        <v>0</v>
      </c>
      <c r="AO133" s="1047">
        <f t="shared" si="247"/>
        <v>0</v>
      </c>
      <c r="AP133" s="1047">
        <f t="shared" si="247"/>
        <v>0</v>
      </c>
      <c r="AQ133" s="1047">
        <f t="shared" si="247"/>
        <v>0</v>
      </c>
      <c r="AR133" s="1047">
        <f t="shared" si="247"/>
        <v>0</v>
      </c>
      <c r="AS133" s="1047">
        <f t="shared" si="247"/>
        <v>0</v>
      </c>
      <c r="AT133" s="1047">
        <f t="shared" si="247"/>
        <v>0</v>
      </c>
      <c r="AU133" s="1047">
        <f t="shared" si="247"/>
        <v>0</v>
      </c>
      <c r="AV133" s="1047">
        <f t="shared" si="247"/>
        <v>0</v>
      </c>
      <c r="AW133" s="1047">
        <f t="shared" si="247"/>
        <v>0</v>
      </c>
      <c r="AX133" s="1047">
        <f t="shared" si="247"/>
        <v>0</v>
      </c>
      <c r="AY133" s="1047">
        <f t="shared" si="247"/>
        <v>0</v>
      </c>
      <c r="AZ133" s="1047">
        <f t="shared" si="247"/>
        <v>0</v>
      </c>
      <c r="BA133" s="1047">
        <f t="shared" si="247"/>
        <v>0</v>
      </c>
      <c r="BB133" s="1047">
        <f t="shared" si="247"/>
        <v>0</v>
      </c>
      <c r="BC133" s="1047">
        <f t="shared" si="247"/>
        <v>0</v>
      </c>
      <c r="BD133" s="1047">
        <f t="shared" si="247"/>
        <v>0</v>
      </c>
      <c r="BE133" s="1047">
        <f t="shared" si="247"/>
        <v>0</v>
      </c>
      <c r="BF133" s="1047">
        <f t="shared" si="247"/>
        <v>0</v>
      </c>
      <c r="BG133" s="1047"/>
      <c r="BH133" s="1047"/>
      <c r="BI133" s="1047"/>
      <c r="BJ133" s="1047">
        <f t="shared" si="247"/>
        <v>0</v>
      </c>
      <c r="BK133" s="1047"/>
      <c r="BL133" s="1047"/>
      <c r="BM133" s="1047"/>
      <c r="BN133" s="1047">
        <f t="shared" si="247"/>
        <v>0</v>
      </c>
      <c r="BO133" s="1047">
        <f t="shared" si="247"/>
        <v>0</v>
      </c>
      <c r="BP133" s="1047">
        <f t="shared" si="247"/>
        <v>0</v>
      </c>
      <c r="BQ133" s="1047">
        <f t="shared" si="247"/>
        <v>0</v>
      </c>
      <c r="BR133" s="1047">
        <f t="shared" si="247"/>
        <v>1046674858.9999999</v>
      </c>
      <c r="BS133" s="1047">
        <f t="shared" si="247"/>
        <v>1046674858.9999999</v>
      </c>
      <c r="BT133" s="1047">
        <f t="shared" si="247"/>
        <v>738885033.16999996</v>
      </c>
      <c r="BU133" s="1047">
        <f t="shared" si="247"/>
        <v>738885033.16999996</v>
      </c>
      <c r="BV133" s="1047">
        <f t="shared" si="247"/>
        <v>1000000000</v>
      </c>
      <c r="BW133" s="1047">
        <f t="shared" si="247"/>
        <v>986537916.85999966</v>
      </c>
      <c r="BX133" s="1047">
        <f t="shared" si="247"/>
        <v>891099284.81999969</v>
      </c>
      <c r="BY133" s="1047">
        <f t="shared" si="247"/>
        <v>882561415.17000008</v>
      </c>
      <c r="BZ133" s="1047">
        <f t="shared" si="247"/>
        <v>0</v>
      </c>
      <c r="CA133" s="752">
        <f t="shared" si="247"/>
        <v>0</v>
      </c>
      <c r="CB133" s="752">
        <f t="shared" ref="CB133:CC133" si="248">+CB134</f>
        <v>0</v>
      </c>
      <c r="CC133" s="752">
        <f t="shared" si="248"/>
        <v>0</v>
      </c>
      <c r="CD133" s="752">
        <f t="shared" ref="CD133:CD148" si="249">+J133+N133+R133+V133+Z133+AD133+AH133+AL133+AP133+AT133+AX133+BB133+BF133+BJ133+BN133+BR133+BV133+BZ133</f>
        <v>7295232859</v>
      </c>
      <c r="CE133" s="752">
        <f t="shared" si="243"/>
        <v>7281770775.8599997</v>
      </c>
      <c r="CF133" s="752">
        <f>+CF134</f>
        <v>5235768421</v>
      </c>
      <c r="CG133" s="752">
        <f>+CG134</f>
        <v>4942005919</v>
      </c>
      <c r="CH133" s="709"/>
      <c r="CI133" s="758">
        <f t="shared" si="246"/>
        <v>0</v>
      </c>
    </row>
    <row r="134" spans="1:88" ht="27" thickTop="1" thickBot="1" x14ac:dyDescent="0.3">
      <c r="A134" s="710"/>
      <c r="B134" s="710"/>
      <c r="C134" s="711"/>
      <c r="D134" s="711"/>
      <c r="E134" s="712"/>
      <c r="F134" s="712"/>
      <c r="G134" s="710"/>
      <c r="H134" s="689" t="s">
        <v>2176</v>
      </c>
      <c r="I134" s="1048">
        <f t="shared" ref="I134:BS134" si="250">+SUM(I135:I148)</f>
        <v>7295232859</v>
      </c>
      <c r="J134" s="1048">
        <f t="shared" si="250"/>
        <v>3515000000</v>
      </c>
      <c r="K134" s="1048">
        <f t="shared" si="250"/>
        <v>3515000000</v>
      </c>
      <c r="L134" s="1048">
        <f t="shared" si="250"/>
        <v>2166722831.3299999</v>
      </c>
      <c r="M134" s="1048">
        <f t="shared" si="250"/>
        <v>1881498199.0000002</v>
      </c>
      <c r="N134" s="1048">
        <f t="shared" si="250"/>
        <v>1300000000</v>
      </c>
      <c r="O134" s="1048">
        <f t="shared" si="250"/>
        <v>1300000000</v>
      </c>
      <c r="P134" s="1048">
        <f t="shared" si="250"/>
        <v>1300000000</v>
      </c>
      <c r="Q134" s="1048">
        <f t="shared" si="250"/>
        <v>1300000000</v>
      </c>
      <c r="R134" s="1048">
        <f t="shared" si="250"/>
        <v>433558000</v>
      </c>
      <c r="S134" s="1048">
        <f t="shared" si="250"/>
        <v>433558000</v>
      </c>
      <c r="T134" s="1048">
        <f t="shared" si="250"/>
        <v>139061271.75</v>
      </c>
      <c r="U134" s="1048">
        <f t="shared" si="250"/>
        <v>139061271.75</v>
      </c>
      <c r="V134" s="1048">
        <f t="shared" si="250"/>
        <v>0</v>
      </c>
      <c r="W134" s="1048">
        <f t="shared" si="250"/>
        <v>0</v>
      </c>
      <c r="X134" s="1048">
        <f t="shared" si="250"/>
        <v>0</v>
      </c>
      <c r="Y134" s="1048">
        <f t="shared" si="250"/>
        <v>0</v>
      </c>
      <c r="Z134" s="1048">
        <f t="shared" si="250"/>
        <v>0</v>
      </c>
      <c r="AA134" s="1048">
        <f t="shared" si="250"/>
        <v>0</v>
      </c>
      <c r="AB134" s="1048">
        <f t="shared" si="250"/>
        <v>0</v>
      </c>
      <c r="AC134" s="1048">
        <f t="shared" si="250"/>
        <v>0</v>
      </c>
      <c r="AD134" s="1048">
        <f t="shared" si="250"/>
        <v>0</v>
      </c>
      <c r="AE134" s="1048">
        <f t="shared" si="250"/>
        <v>0</v>
      </c>
      <c r="AF134" s="1048">
        <f t="shared" si="250"/>
        <v>0</v>
      </c>
      <c r="AG134" s="1048">
        <f t="shared" si="250"/>
        <v>0</v>
      </c>
      <c r="AH134" s="1048">
        <f t="shared" si="250"/>
        <v>0</v>
      </c>
      <c r="AI134" s="1048">
        <f t="shared" si="250"/>
        <v>0</v>
      </c>
      <c r="AJ134" s="1048">
        <f t="shared" si="250"/>
        <v>0</v>
      </c>
      <c r="AK134" s="1048">
        <f t="shared" si="250"/>
        <v>0</v>
      </c>
      <c r="AL134" s="1048">
        <f t="shared" si="250"/>
        <v>0</v>
      </c>
      <c r="AM134" s="1048">
        <f t="shared" si="250"/>
        <v>0</v>
      </c>
      <c r="AN134" s="1048">
        <f t="shared" si="250"/>
        <v>0</v>
      </c>
      <c r="AO134" s="1048">
        <f t="shared" si="250"/>
        <v>0</v>
      </c>
      <c r="AP134" s="1048">
        <f t="shared" si="250"/>
        <v>0</v>
      </c>
      <c r="AQ134" s="1048">
        <f t="shared" si="250"/>
        <v>0</v>
      </c>
      <c r="AR134" s="1048">
        <f t="shared" si="250"/>
        <v>0</v>
      </c>
      <c r="AS134" s="1048">
        <f t="shared" si="250"/>
        <v>0</v>
      </c>
      <c r="AT134" s="1048">
        <f t="shared" si="250"/>
        <v>0</v>
      </c>
      <c r="AU134" s="1048">
        <f t="shared" si="250"/>
        <v>0</v>
      </c>
      <c r="AV134" s="1048">
        <f t="shared" si="250"/>
        <v>0</v>
      </c>
      <c r="AW134" s="1048">
        <f t="shared" si="250"/>
        <v>0</v>
      </c>
      <c r="AX134" s="1048">
        <f t="shared" si="250"/>
        <v>0</v>
      </c>
      <c r="AY134" s="1048">
        <f t="shared" si="250"/>
        <v>0</v>
      </c>
      <c r="AZ134" s="1048">
        <f t="shared" si="250"/>
        <v>0</v>
      </c>
      <c r="BA134" s="1048">
        <f t="shared" si="250"/>
        <v>0</v>
      </c>
      <c r="BB134" s="1048">
        <f t="shared" si="250"/>
        <v>0</v>
      </c>
      <c r="BC134" s="1048">
        <f t="shared" si="250"/>
        <v>0</v>
      </c>
      <c r="BD134" s="1048">
        <f t="shared" si="250"/>
        <v>0</v>
      </c>
      <c r="BE134" s="1048">
        <f t="shared" si="250"/>
        <v>0</v>
      </c>
      <c r="BF134" s="1048">
        <f t="shared" si="250"/>
        <v>0</v>
      </c>
      <c r="BG134" s="1048">
        <f t="shared" si="250"/>
        <v>0</v>
      </c>
      <c r="BH134" s="1048">
        <f t="shared" si="250"/>
        <v>0</v>
      </c>
      <c r="BI134" s="1048">
        <f t="shared" si="250"/>
        <v>0</v>
      </c>
      <c r="BJ134" s="1048">
        <f t="shared" si="250"/>
        <v>0</v>
      </c>
      <c r="BK134" s="1048">
        <f t="shared" si="250"/>
        <v>0</v>
      </c>
      <c r="BL134" s="1048">
        <f t="shared" si="250"/>
        <v>0</v>
      </c>
      <c r="BM134" s="1048">
        <f t="shared" si="250"/>
        <v>0</v>
      </c>
      <c r="BN134" s="1048">
        <f t="shared" si="250"/>
        <v>0</v>
      </c>
      <c r="BO134" s="1048">
        <f t="shared" si="250"/>
        <v>0</v>
      </c>
      <c r="BP134" s="1048">
        <f t="shared" si="250"/>
        <v>0</v>
      </c>
      <c r="BQ134" s="1048">
        <f t="shared" si="250"/>
        <v>0</v>
      </c>
      <c r="BR134" s="1048">
        <f t="shared" si="250"/>
        <v>1046674858.9999999</v>
      </c>
      <c r="BS134" s="1048">
        <f t="shared" si="250"/>
        <v>1046674858.9999999</v>
      </c>
      <c r="BT134" s="1048">
        <f t="shared" ref="BT134:CC134" si="251">+SUM(BT135:BT148)</f>
        <v>738885033.16999996</v>
      </c>
      <c r="BU134" s="1048">
        <f t="shared" si="251"/>
        <v>738885033.16999996</v>
      </c>
      <c r="BV134" s="1048">
        <f t="shared" si="251"/>
        <v>1000000000</v>
      </c>
      <c r="BW134" s="1048">
        <f t="shared" si="251"/>
        <v>986537916.85999966</v>
      </c>
      <c r="BX134" s="1048">
        <f t="shared" si="251"/>
        <v>891099284.81999969</v>
      </c>
      <c r="BY134" s="1048">
        <f t="shared" si="251"/>
        <v>882561415.17000008</v>
      </c>
      <c r="BZ134" s="1048">
        <f t="shared" si="251"/>
        <v>0</v>
      </c>
      <c r="CA134" s="1048">
        <f t="shared" si="251"/>
        <v>0</v>
      </c>
      <c r="CB134" s="1048">
        <f t="shared" si="251"/>
        <v>0</v>
      </c>
      <c r="CC134" s="1048">
        <f t="shared" si="251"/>
        <v>0</v>
      </c>
      <c r="CD134" s="690">
        <f t="shared" si="249"/>
        <v>7295232859</v>
      </c>
      <c r="CE134" s="690">
        <f t="shared" si="243"/>
        <v>7281770775.8599997</v>
      </c>
      <c r="CF134" s="690">
        <f>+'Anexo 5.2. infor Gastos mesa 55'!AA95</f>
        <v>5235768421</v>
      </c>
      <c r="CG134" s="690">
        <f>+'Anexo 5.2. infor Gastos mesa 55'!AB95</f>
        <v>4942005919</v>
      </c>
      <c r="CH134" s="700"/>
      <c r="CI134" s="758">
        <f t="shared" si="246"/>
        <v>0</v>
      </c>
    </row>
    <row r="135" spans="1:88" ht="27" thickTop="1" thickBot="1" x14ac:dyDescent="0.3">
      <c r="A135" s="444"/>
      <c r="B135" s="444"/>
      <c r="C135" s="446"/>
      <c r="D135" s="446"/>
      <c r="E135" s="445"/>
      <c r="F135" s="445"/>
      <c r="G135" s="444"/>
      <c r="H135" s="686" t="s">
        <v>2462</v>
      </c>
      <c r="I135" s="1046">
        <v>1700000000</v>
      </c>
      <c r="J135" s="687">
        <v>1700000000</v>
      </c>
      <c r="K135" s="687">
        <v>1700000000</v>
      </c>
      <c r="L135" s="687">
        <v>970013139.47000003</v>
      </c>
      <c r="M135" s="687">
        <v>970013139.47000003</v>
      </c>
      <c r="N135" s="687"/>
      <c r="O135" s="687"/>
      <c r="P135" s="687"/>
      <c r="Q135" s="687"/>
      <c r="R135" s="687"/>
      <c r="S135" s="687"/>
      <c r="T135" s="687"/>
      <c r="U135" s="687"/>
      <c r="V135" s="687"/>
      <c r="W135" s="687"/>
      <c r="X135" s="687"/>
      <c r="Y135" s="687"/>
      <c r="Z135" s="687"/>
      <c r="AA135" s="687"/>
      <c r="AB135" s="687"/>
      <c r="AC135" s="687"/>
      <c r="AD135" s="687"/>
      <c r="AE135" s="687"/>
      <c r="AF135" s="687"/>
      <c r="AG135" s="687"/>
      <c r="AH135" s="687"/>
      <c r="AI135" s="687"/>
      <c r="AJ135" s="687"/>
      <c r="AK135" s="687"/>
      <c r="AL135" s="687"/>
      <c r="AM135" s="687"/>
      <c r="AN135" s="687"/>
      <c r="AO135" s="687"/>
      <c r="AP135" s="687"/>
      <c r="AQ135" s="687"/>
      <c r="AR135" s="687"/>
      <c r="AS135" s="687"/>
      <c r="AT135" s="687"/>
      <c r="AU135" s="687"/>
      <c r="AV135" s="687"/>
      <c r="AW135" s="687"/>
      <c r="AX135" s="687"/>
      <c r="AY135" s="687"/>
      <c r="AZ135" s="687"/>
      <c r="BA135" s="687"/>
      <c r="BB135" s="687"/>
      <c r="BC135" s="687"/>
      <c r="BD135" s="687"/>
      <c r="BE135" s="687"/>
      <c r="BF135" s="687"/>
      <c r="BG135" s="687"/>
      <c r="BH135" s="687"/>
      <c r="BI135" s="687"/>
      <c r="BJ135" s="687"/>
      <c r="BK135" s="687"/>
      <c r="BL135" s="687"/>
      <c r="BM135" s="687"/>
      <c r="BN135" s="687"/>
      <c r="BO135" s="687"/>
      <c r="BP135" s="687"/>
      <c r="BQ135" s="687"/>
      <c r="BR135" s="687"/>
      <c r="BS135" s="687"/>
      <c r="BT135" s="687"/>
      <c r="BU135" s="687"/>
      <c r="BV135" s="687"/>
      <c r="BW135" s="687"/>
      <c r="BX135" s="687"/>
      <c r="BY135" s="687"/>
      <c r="BZ135" s="687"/>
      <c r="CA135" s="687"/>
      <c r="CB135" s="687"/>
      <c r="CC135" s="687"/>
      <c r="CD135" s="687">
        <f t="shared" si="249"/>
        <v>1700000000</v>
      </c>
      <c r="CE135" s="687">
        <f t="shared" si="243"/>
        <v>1700000000</v>
      </c>
      <c r="CF135" s="687">
        <v>970013139.47000003</v>
      </c>
      <c r="CG135" s="687">
        <f>+CF135</f>
        <v>970013139.47000003</v>
      </c>
      <c r="CH135" s="439"/>
      <c r="CI135" s="758">
        <f t="shared" si="246"/>
        <v>0</v>
      </c>
    </row>
    <row r="136" spans="1:88" ht="27" thickTop="1" thickBot="1" x14ac:dyDescent="0.3">
      <c r="A136" s="444"/>
      <c r="B136" s="444"/>
      <c r="C136" s="446"/>
      <c r="D136" s="446"/>
      <c r="E136" s="445"/>
      <c r="F136" s="445"/>
      <c r="G136" s="444"/>
      <c r="H136" s="686" t="s">
        <v>2464</v>
      </c>
      <c r="I136" s="1046">
        <v>112679883.27999997</v>
      </c>
      <c r="J136" s="687"/>
      <c r="K136" s="687">
        <v>0</v>
      </c>
      <c r="L136" s="687">
        <v>0</v>
      </c>
      <c r="M136" s="687">
        <v>0</v>
      </c>
      <c r="N136" s="687"/>
      <c r="O136" s="687"/>
      <c r="P136" s="687"/>
      <c r="Q136" s="687"/>
      <c r="R136" s="687"/>
      <c r="S136" s="687"/>
      <c r="T136" s="687"/>
      <c r="U136" s="687"/>
      <c r="V136" s="687"/>
      <c r="W136" s="687"/>
      <c r="X136" s="687"/>
      <c r="Y136" s="687"/>
      <c r="Z136" s="687"/>
      <c r="AA136" s="687"/>
      <c r="AB136" s="687"/>
      <c r="AC136" s="687"/>
      <c r="AD136" s="687"/>
      <c r="AE136" s="687"/>
      <c r="AF136" s="687"/>
      <c r="AG136" s="687"/>
      <c r="AH136" s="687"/>
      <c r="AI136" s="687"/>
      <c r="AJ136" s="687"/>
      <c r="AK136" s="687"/>
      <c r="AL136" s="687"/>
      <c r="AM136" s="687"/>
      <c r="AN136" s="687"/>
      <c r="AO136" s="687"/>
      <c r="AP136" s="687"/>
      <c r="AQ136" s="687"/>
      <c r="AR136" s="687"/>
      <c r="AS136" s="687"/>
      <c r="AT136" s="687"/>
      <c r="AU136" s="687"/>
      <c r="AV136" s="687"/>
      <c r="AW136" s="687"/>
      <c r="AX136" s="687"/>
      <c r="AY136" s="687"/>
      <c r="AZ136" s="687"/>
      <c r="BA136" s="687"/>
      <c r="BB136" s="687"/>
      <c r="BC136" s="687"/>
      <c r="BD136" s="687"/>
      <c r="BE136" s="687"/>
      <c r="BF136" s="687"/>
      <c r="BG136" s="687"/>
      <c r="BH136" s="687"/>
      <c r="BI136" s="687"/>
      <c r="BJ136" s="687"/>
      <c r="BK136" s="687"/>
      <c r="BL136" s="687"/>
      <c r="BM136" s="687"/>
      <c r="BN136" s="687"/>
      <c r="BO136" s="687"/>
      <c r="BP136" s="687"/>
      <c r="BQ136" s="687"/>
      <c r="BR136" s="687"/>
      <c r="BS136" s="687"/>
      <c r="BT136" s="687"/>
      <c r="BU136" s="687"/>
      <c r="BV136" s="687">
        <v>112679883.27999997</v>
      </c>
      <c r="BW136" s="687">
        <v>112679883.27999997</v>
      </c>
      <c r="BX136" s="687">
        <v>17241251.24000001</v>
      </c>
      <c r="BY136" s="687">
        <v>17241251.24000001</v>
      </c>
      <c r="BZ136" s="687"/>
      <c r="CA136" s="687"/>
      <c r="CB136" s="687"/>
      <c r="CC136" s="687"/>
      <c r="CD136" s="687">
        <f t="shared" si="249"/>
        <v>112679883.27999997</v>
      </c>
      <c r="CE136" s="687">
        <f t="shared" si="243"/>
        <v>112679883.27999997</v>
      </c>
      <c r="CF136" s="687">
        <v>17241251.239999998</v>
      </c>
      <c r="CG136" s="687">
        <f>+CF136</f>
        <v>17241251.239999998</v>
      </c>
      <c r="CH136" s="1190"/>
      <c r="CI136" s="758">
        <f t="shared" si="246"/>
        <v>0</v>
      </c>
    </row>
    <row r="137" spans="1:88" ht="27" thickTop="1" thickBot="1" x14ac:dyDescent="0.3">
      <c r="A137" s="444"/>
      <c r="B137" s="444"/>
      <c r="C137" s="446"/>
      <c r="D137" s="446"/>
      <c r="E137" s="445"/>
      <c r="F137" s="445"/>
      <c r="G137" s="444"/>
      <c r="H137" s="686" t="s">
        <v>2466</v>
      </c>
      <c r="I137" s="1046">
        <v>100000000</v>
      </c>
      <c r="J137" s="687"/>
      <c r="K137" s="687">
        <v>0</v>
      </c>
      <c r="L137" s="687">
        <v>0</v>
      </c>
      <c r="M137" s="687">
        <v>0</v>
      </c>
      <c r="N137" s="687"/>
      <c r="O137" s="687"/>
      <c r="P137" s="687"/>
      <c r="Q137" s="687"/>
      <c r="R137" s="687">
        <v>100000000</v>
      </c>
      <c r="S137" s="687">
        <v>100000000</v>
      </c>
      <c r="T137" s="687">
        <v>0</v>
      </c>
      <c r="U137" s="687">
        <v>0</v>
      </c>
      <c r="V137" s="687"/>
      <c r="W137" s="687"/>
      <c r="X137" s="687"/>
      <c r="Y137" s="687"/>
      <c r="Z137" s="687"/>
      <c r="AA137" s="687"/>
      <c r="AB137" s="687"/>
      <c r="AC137" s="687"/>
      <c r="AD137" s="687"/>
      <c r="AE137" s="687"/>
      <c r="AF137" s="687"/>
      <c r="AG137" s="687"/>
      <c r="AH137" s="687"/>
      <c r="AI137" s="687"/>
      <c r="AJ137" s="687"/>
      <c r="AK137" s="687"/>
      <c r="AL137" s="687"/>
      <c r="AM137" s="687"/>
      <c r="AN137" s="687"/>
      <c r="AO137" s="687"/>
      <c r="AP137" s="687"/>
      <c r="AQ137" s="687"/>
      <c r="AR137" s="687"/>
      <c r="AS137" s="687"/>
      <c r="AT137" s="687"/>
      <c r="AU137" s="687"/>
      <c r="AV137" s="687"/>
      <c r="AW137" s="687"/>
      <c r="AX137" s="687"/>
      <c r="AY137" s="687"/>
      <c r="AZ137" s="687"/>
      <c r="BA137" s="687"/>
      <c r="BB137" s="687"/>
      <c r="BC137" s="687"/>
      <c r="BD137" s="687"/>
      <c r="BE137" s="687"/>
      <c r="BF137" s="687"/>
      <c r="BG137" s="687"/>
      <c r="BH137" s="687"/>
      <c r="BI137" s="687"/>
      <c r="BJ137" s="687"/>
      <c r="BK137" s="687"/>
      <c r="BL137" s="687"/>
      <c r="BM137" s="687"/>
      <c r="BN137" s="687"/>
      <c r="BO137" s="687"/>
      <c r="BP137" s="687"/>
      <c r="BQ137" s="687"/>
      <c r="BR137" s="687"/>
      <c r="BS137" s="687"/>
      <c r="BT137" s="687"/>
      <c r="BU137" s="687"/>
      <c r="BV137" s="687"/>
      <c r="BW137" s="687">
        <v>0</v>
      </c>
      <c r="BX137" s="687">
        <v>0</v>
      </c>
      <c r="BY137" s="687">
        <v>0</v>
      </c>
      <c r="BZ137" s="687"/>
      <c r="CA137" s="687"/>
      <c r="CB137" s="687"/>
      <c r="CC137" s="687"/>
      <c r="CD137" s="687">
        <f t="shared" si="249"/>
        <v>100000000</v>
      </c>
      <c r="CE137" s="687">
        <f t="shared" si="243"/>
        <v>100000000</v>
      </c>
      <c r="CF137" s="687"/>
      <c r="CG137" s="687"/>
      <c r="CH137" s="439"/>
      <c r="CI137" s="758">
        <f t="shared" si="246"/>
        <v>0</v>
      </c>
    </row>
    <row r="138" spans="1:88" ht="27" thickTop="1" thickBot="1" x14ac:dyDescent="0.3">
      <c r="A138" s="444"/>
      <c r="B138" s="444"/>
      <c r="C138" s="446"/>
      <c r="D138" s="446"/>
      <c r="E138" s="445"/>
      <c r="F138" s="445"/>
      <c r="G138" s="444"/>
      <c r="H138" s="686" t="s">
        <v>2468</v>
      </c>
      <c r="I138" s="1046">
        <v>150000000</v>
      </c>
      <c r="J138" s="687"/>
      <c r="K138" s="687">
        <v>0</v>
      </c>
      <c r="L138" s="687">
        <v>0</v>
      </c>
      <c r="M138" s="687">
        <v>0</v>
      </c>
      <c r="N138" s="687"/>
      <c r="O138" s="687"/>
      <c r="P138" s="687"/>
      <c r="Q138" s="687"/>
      <c r="R138" s="687">
        <v>150000000</v>
      </c>
      <c r="S138" s="687">
        <v>150000000</v>
      </c>
      <c r="T138" s="687">
        <v>0</v>
      </c>
      <c r="U138" s="687">
        <v>0</v>
      </c>
      <c r="V138" s="687"/>
      <c r="W138" s="687"/>
      <c r="X138" s="687"/>
      <c r="Y138" s="687"/>
      <c r="Z138" s="687"/>
      <c r="AA138" s="687"/>
      <c r="AB138" s="687"/>
      <c r="AC138" s="687"/>
      <c r="AD138" s="687"/>
      <c r="AE138" s="687"/>
      <c r="AF138" s="687"/>
      <c r="AG138" s="687"/>
      <c r="AH138" s="687"/>
      <c r="AI138" s="687"/>
      <c r="AJ138" s="687"/>
      <c r="AK138" s="687"/>
      <c r="AL138" s="687"/>
      <c r="AM138" s="687"/>
      <c r="AN138" s="687"/>
      <c r="AO138" s="687"/>
      <c r="AP138" s="687"/>
      <c r="AQ138" s="687"/>
      <c r="AR138" s="687"/>
      <c r="AS138" s="687"/>
      <c r="AT138" s="687"/>
      <c r="AU138" s="687"/>
      <c r="AV138" s="687"/>
      <c r="AW138" s="687"/>
      <c r="AX138" s="687"/>
      <c r="AY138" s="687"/>
      <c r="AZ138" s="687"/>
      <c r="BA138" s="687"/>
      <c r="BB138" s="687"/>
      <c r="BC138" s="687"/>
      <c r="BD138" s="687"/>
      <c r="BE138" s="687"/>
      <c r="BF138" s="687"/>
      <c r="BG138" s="687"/>
      <c r="BH138" s="687"/>
      <c r="BI138" s="687"/>
      <c r="BJ138" s="687"/>
      <c r="BK138" s="687"/>
      <c r="BL138" s="687"/>
      <c r="BM138" s="687"/>
      <c r="BN138" s="687"/>
      <c r="BO138" s="687"/>
      <c r="BP138" s="687"/>
      <c r="BQ138" s="687"/>
      <c r="BR138" s="687"/>
      <c r="BS138" s="687"/>
      <c r="BT138" s="687"/>
      <c r="BU138" s="687"/>
      <c r="BV138" s="687"/>
      <c r="BW138" s="687">
        <v>0</v>
      </c>
      <c r="BX138" s="687">
        <v>0</v>
      </c>
      <c r="BY138" s="687">
        <v>0</v>
      </c>
      <c r="BZ138" s="687"/>
      <c r="CA138" s="687"/>
      <c r="CB138" s="687"/>
      <c r="CC138" s="687"/>
      <c r="CD138" s="687">
        <f t="shared" si="249"/>
        <v>150000000</v>
      </c>
      <c r="CE138" s="687">
        <f t="shared" si="243"/>
        <v>150000000</v>
      </c>
      <c r="CF138" s="687"/>
      <c r="CG138" s="687"/>
      <c r="CH138" s="439"/>
      <c r="CI138" s="758">
        <f t="shared" si="246"/>
        <v>0</v>
      </c>
    </row>
    <row r="139" spans="1:88" ht="39.75" thickTop="1" thickBot="1" x14ac:dyDescent="0.3">
      <c r="A139" s="444"/>
      <c r="B139" s="444"/>
      <c r="C139" s="446"/>
      <c r="D139" s="446"/>
      <c r="E139" s="445"/>
      <c r="F139" s="445"/>
      <c r="G139" s="444"/>
      <c r="H139" s="686" t="s">
        <v>2470</v>
      </c>
      <c r="I139" s="1046">
        <v>887320116.72000003</v>
      </c>
      <c r="J139" s="687"/>
      <c r="K139" s="687">
        <v>0</v>
      </c>
      <c r="L139" s="687">
        <v>0</v>
      </c>
      <c r="M139" s="687">
        <v>0</v>
      </c>
      <c r="N139" s="687"/>
      <c r="O139" s="687"/>
      <c r="P139" s="687"/>
      <c r="Q139" s="687"/>
      <c r="R139" s="687"/>
      <c r="S139" s="687">
        <v>0</v>
      </c>
      <c r="T139" s="687">
        <v>0</v>
      </c>
      <c r="U139" s="687">
        <v>0</v>
      </c>
      <c r="V139" s="687"/>
      <c r="W139" s="687"/>
      <c r="X139" s="687"/>
      <c r="Y139" s="687"/>
      <c r="Z139" s="687"/>
      <c r="AA139" s="687"/>
      <c r="AB139" s="687"/>
      <c r="AC139" s="687"/>
      <c r="AD139" s="687"/>
      <c r="AE139" s="687"/>
      <c r="AF139" s="687"/>
      <c r="AG139" s="687"/>
      <c r="AH139" s="687"/>
      <c r="AI139" s="687"/>
      <c r="AJ139" s="687"/>
      <c r="AK139" s="687"/>
      <c r="AL139" s="687"/>
      <c r="AM139" s="687"/>
      <c r="AN139" s="687"/>
      <c r="AO139" s="687"/>
      <c r="AP139" s="687"/>
      <c r="AQ139" s="687"/>
      <c r="AR139" s="687"/>
      <c r="AS139" s="687"/>
      <c r="AT139" s="687"/>
      <c r="AU139" s="687"/>
      <c r="AV139" s="687"/>
      <c r="AW139" s="687"/>
      <c r="AX139" s="687"/>
      <c r="AY139" s="687"/>
      <c r="AZ139" s="687"/>
      <c r="BA139" s="687"/>
      <c r="BB139" s="687"/>
      <c r="BC139" s="687"/>
      <c r="BD139" s="687"/>
      <c r="BE139" s="687"/>
      <c r="BF139" s="687"/>
      <c r="BG139" s="687"/>
      <c r="BH139" s="687"/>
      <c r="BI139" s="687"/>
      <c r="BJ139" s="687"/>
      <c r="BK139" s="687"/>
      <c r="BL139" s="687"/>
      <c r="BM139" s="687"/>
      <c r="BN139" s="687"/>
      <c r="BO139" s="687"/>
      <c r="BP139" s="687"/>
      <c r="BQ139" s="687"/>
      <c r="BR139" s="687"/>
      <c r="BS139" s="687"/>
      <c r="BT139" s="687"/>
      <c r="BU139" s="687"/>
      <c r="BV139" s="687">
        <v>887320116.72000003</v>
      </c>
      <c r="BW139" s="687">
        <v>873858033.57999969</v>
      </c>
      <c r="BX139" s="687">
        <v>873858033.57999969</v>
      </c>
      <c r="BY139" s="687">
        <v>865320163.93000007</v>
      </c>
      <c r="BZ139" s="687"/>
      <c r="CA139" s="687"/>
      <c r="CB139" s="687"/>
      <c r="CC139" s="687"/>
      <c r="CD139" s="687">
        <f t="shared" si="249"/>
        <v>887320116.72000003</v>
      </c>
      <c r="CE139" s="687">
        <f t="shared" si="243"/>
        <v>873858033.57999969</v>
      </c>
      <c r="CF139" s="687">
        <f>700904776.78+172953256.8</f>
        <v>873858033.57999992</v>
      </c>
      <c r="CG139" s="687">
        <f>692366907.13+172953256.8</f>
        <v>865320163.93000007</v>
      </c>
      <c r="CH139" s="439"/>
      <c r="CI139" s="758">
        <f t="shared" si="246"/>
        <v>0</v>
      </c>
    </row>
    <row r="140" spans="1:88" ht="65.25" thickTop="1" thickBot="1" x14ac:dyDescent="0.3">
      <c r="A140" s="444"/>
      <c r="B140" s="444"/>
      <c r="C140" s="446"/>
      <c r="D140" s="446"/>
      <c r="E140" s="445"/>
      <c r="F140" s="445"/>
      <c r="G140" s="444"/>
      <c r="H140" s="686" t="s">
        <v>2472</v>
      </c>
      <c r="I140" s="1046">
        <v>0</v>
      </c>
      <c r="J140" s="687"/>
      <c r="K140" s="687">
        <v>0</v>
      </c>
      <c r="L140" s="687">
        <v>0</v>
      </c>
      <c r="M140" s="687">
        <v>0</v>
      </c>
      <c r="N140" s="687"/>
      <c r="O140" s="687"/>
      <c r="P140" s="687"/>
      <c r="Q140" s="687"/>
      <c r="R140" s="687"/>
      <c r="S140" s="687">
        <v>0</v>
      </c>
      <c r="T140" s="687">
        <v>0</v>
      </c>
      <c r="U140" s="687">
        <v>0</v>
      </c>
      <c r="V140" s="687"/>
      <c r="W140" s="687"/>
      <c r="X140" s="687"/>
      <c r="Y140" s="687"/>
      <c r="Z140" s="687"/>
      <c r="AA140" s="687"/>
      <c r="AB140" s="687"/>
      <c r="AC140" s="687"/>
      <c r="AD140" s="687"/>
      <c r="AE140" s="687"/>
      <c r="AF140" s="687"/>
      <c r="AG140" s="687"/>
      <c r="AH140" s="687"/>
      <c r="AI140" s="687"/>
      <c r="AJ140" s="687"/>
      <c r="AK140" s="687"/>
      <c r="AL140" s="687"/>
      <c r="AM140" s="687"/>
      <c r="AN140" s="687"/>
      <c r="AO140" s="687"/>
      <c r="AP140" s="687"/>
      <c r="AQ140" s="687"/>
      <c r="AR140" s="687"/>
      <c r="AS140" s="687"/>
      <c r="AT140" s="687"/>
      <c r="AU140" s="687"/>
      <c r="AV140" s="687"/>
      <c r="AW140" s="687"/>
      <c r="AX140" s="687"/>
      <c r="AY140" s="687"/>
      <c r="AZ140" s="687"/>
      <c r="BA140" s="687"/>
      <c r="BB140" s="687"/>
      <c r="BC140" s="687"/>
      <c r="BD140" s="687"/>
      <c r="BE140" s="687"/>
      <c r="BF140" s="687"/>
      <c r="BG140" s="687"/>
      <c r="BH140" s="687"/>
      <c r="BI140" s="687"/>
      <c r="BJ140" s="687"/>
      <c r="BK140" s="687"/>
      <c r="BL140" s="687"/>
      <c r="BM140" s="687"/>
      <c r="BN140" s="687"/>
      <c r="BO140" s="687"/>
      <c r="BP140" s="687"/>
      <c r="BQ140" s="687"/>
      <c r="BR140" s="687"/>
      <c r="BS140" s="687"/>
      <c r="BT140" s="687"/>
      <c r="BU140" s="687"/>
      <c r="BV140" s="687"/>
      <c r="BW140" s="687">
        <v>0</v>
      </c>
      <c r="BX140" s="687">
        <v>0</v>
      </c>
      <c r="BY140" s="687">
        <v>0</v>
      </c>
      <c r="BZ140" s="687"/>
      <c r="CA140" s="687"/>
      <c r="CB140" s="687"/>
      <c r="CC140" s="687"/>
      <c r="CD140" s="687">
        <f t="shared" si="249"/>
        <v>0</v>
      </c>
      <c r="CE140" s="687">
        <f t="shared" si="243"/>
        <v>0</v>
      </c>
      <c r="CF140" s="687"/>
      <c r="CG140" s="687"/>
      <c r="CH140" s="439"/>
      <c r="CI140" s="758">
        <f t="shared" si="246"/>
        <v>0</v>
      </c>
    </row>
    <row r="141" spans="1:88" ht="39.75" thickTop="1" thickBot="1" x14ac:dyDescent="0.3">
      <c r="A141" s="444"/>
      <c r="B141" s="444"/>
      <c r="C141" s="446"/>
      <c r="D141" s="446"/>
      <c r="E141" s="445"/>
      <c r="F141" s="445"/>
      <c r="G141" s="444"/>
      <c r="H141" s="686" t="s">
        <v>2474</v>
      </c>
      <c r="I141" s="1046">
        <v>0</v>
      </c>
      <c r="J141" s="687"/>
      <c r="K141" s="687">
        <v>0</v>
      </c>
      <c r="L141" s="687">
        <v>0</v>
      </c>
      <c r="M141" s="687">
        <v>0</v>
      </c>
      <c r="N141" s="687"/>
      <c r="O141" s="687"/>
      <c r="P141" s="687"/>
      <c r="Q141" s="687"/>
      <c r="R141" s="687"/>
      <c r="S141" s="687">
        <v>0</v>
      </c>
      <c r="T141" s="687">
        <v>0</v>
      </c>
      <c r="U141" s="687">
        <v>0</v>
      </c>
      <c r="V141" s="687"/>
      <c r="W141" s="687"/>
      <c r="X141" s="687"/>
      <c r="Y141" s="687"/>
      <c r="Z141" s="687"/>
      <c r="AA141" s="687"/>
      <c r="AB141" s="687"/>
      <c r="AC141" s="687"/>
      <c r="AD141" s="687"/>
      <c r="AE141" s="687"/>
      <c r="AF141" s="687"/>
      <c r="AG141" s="687"/>
      <c r="AH141" s="687"/>
      <c r="AI141" s="687"/>
      <c r="AJ141" s="687"/>
      <c r="AK141" s="687"/>
      <c r="AL141" s="687"/>
      <c r="AM141" s="687"/>
      <c r="AN141" s="687"/>
      <c r="AO141" s="687"/>
      <c r="AP141" s="687"/>
      <c r="AQ141" s="687"/>
      <c r="AR141" s="687"/>
      <c r="AS141" s="687"/>
      <c r="AT141" s="687"/>
      <c r="AU141" s="687"/>
      <c r="AV141" s="687"/>
      <c r="AW141" s="687"/>
      <c r="AX141" s="687"/>
      <c r="AY141" s="687"/>
      <c r="AZ141" s="687"/>
      <c r="BA141" s="687"/>
      <c r="BB141" s="687"/>
      <c r="BC141" s="687"/>
      <c r="BD141" s="687"/>
      <c r="BE141" s="687"/>
      <c r="BF141" s="687"/>
      <c r="BG141" s="687"/>
      <c r="BH141" s="687"/>
      <c r="BI141" s="687"/>
      <c r="BJ141" s="687"/>
      <c r="BK141" s="687"/>
      <c r="BL141" s="687"/>
      <c r="BM141" s="687"/>
      <c r="BN141" s="687"/>
      <c r="BO141" s="687"/>
      <c r="BP141" s="687"/>
      <c r="BQ141" s="687"/>
      <c r="BR141" s="687"/>
      <c r="BS141" s="687"/>
      <c r="BT141" s="687"/>
      <c r="BU141" s="687"/>
      <c r="BV141" s="687"/>
      <c r="BW141" s="687">
        <v>0</v>
      </c>
      <c r="BX141" s="687">
        <v>0</v>
      </c>
      <c r="BY141" s="687">
        <v>0</v>
      </c>
      <c r="BZ141" s="687"/>
      <c r="CA141" s="687"/>
      <c r="CB141" s="687"/>
      <c r="CC141" s="687"/>
      <c r="CD141" s="687">
        <f t="shared" si="249"/>
        <v>0</v>
      </c>
      <c r="CE141" s="687">
        <f t="shared" si="243"/>
        <v>0</v>
      </c>
      <c r="CF141" s="687"/>
      <c r="CG141" s="687"/>
      <c r="CH141" s="439"/>
      <c r="CI141" s="758">
        <f t="shared" si="246"/>
        <v>0</v>
      </c>
    </row>
    <row r="142" spans="1:88" ht="39.75" thickTop="1" thickBot="1" x14ac:dyDescent="0.3">
      <c r="A142" s="444"/>
      <c r="B142" s="444"/>
      <c r="C142" s="446"/>
      <c r="D142" s="446"/>
      <c r="E142" s="445"/>
      <c r="F142" s="445"/>
      <c r="G142" s="444"/>
      <c r="H142" s="686" t="s">
        <v>2476</v>
      </c>
      <c r="I142" s="1046">
        <v>0</v>
      </c>
      <c r="J142" s="687"/>
      <c r="K142" s="687">
        <v>0</v>
      </c>
      <c r="L142" s="687">
        <v>0</v>
      </c>
      <c r="M142" s="687">
        <v>0</v>
      </c>
      <c r="N142" s="687"/>
      <c r="O142" s="687"/>
      <c r="P142" s="687"/>
      <c r="Q142" s="687"/>
      <c r="R142" s="687"/>
      <c r="S142" s="687">
        <v>0</v>
      </c>
      <c r="T142" s="687">
        <v>0</v>
      </c>
      <c r="U142" s="687">
        <v>0</v>
      </c>
      <c r="V142" s="687"/>
      <c r="W142" s="687"/>
      <c r="X142" s="687"/>
      <c r="Y142" s="687"/>
      <c r="Z142" s="687"/>
      <c r="AA142" s="687"/>
      <c r="AB142" s="687"/>
      <c r="AC142" s="687"/>
      <c r="AD142" s="687"/>
      <c r="AE142" s="687"/>
      <c r="AF142" s="687"/>
      <c r="AG142" s="687"/>
      <c r="AH142" s="687"/>
      <c r="AI142" s="687"/>
      <c r="AJ142" s="687"/>
      <c r="AK142" s="687"/>
      <c r="AL142" s="687"/>
      <c r="AM142" s="687"/>
      <c r="AN142" s="687"/>
      <c r="AO142" s="687"/>
      <c r="AP142" s="687"/>
      <c r="AQ142" s="687"/>
      <c r="AR142" s="687"/>
      <c r="AS142" s="687"/>
      <c r="AT142" s="687"/>
      <c r="AU142" s="687"/>
      <c r="AV142" s="687"/>
      <c r="AW142" s="687"/>
      <c r="AX142" s="687"/>
      <c r="AY142" s="687"/>
      <c r="AZ142" s="687"/>
      <c r="BA142" s="687"/>
      <c r="BB142" s="687"/>
      <c r="BC142" s="687"/>
      <c r="BD142" s="687"/>
      <c r="BE142" s="687"/>
      <c r="BF142" s="687"/>
      <c r="BG142" s="687"/>
      <c r="BH142" s="687"/>
      <c r="BI142" s="687"/>
      <c r="BJ142" s="687"/>
      <c r="BK142" s="687"/>
      <c r="BL142" s="687"/>
      <c r="BM142" s="687"/>
      <c r="BN142" s="687"/>
      <c r="BO142" s="687"/>
      <c r="BP142" s="687"/>
      <c r="BQ142" s="687"/>
      <c r="BR142" s="687"/>
      <c r="BS142" s="687"/>
      <c r="BT142" s="687"/>
      <c r="BU142" s="687"/>
      <c r="BV142" s="687"/>
      <c r="BW142" s="687">
        <v>0</v>
      </c>
      <c r="BX142" s="687">
        <v>0</v>
      </c>
      <c r="BY142" s="687">
        <v>0</v>
      </c>
      <c r="BZ142" s="687"/>
      <c r="CA142" s="687"/>
      <c r="CB142" s="687"/>
      <c r="CC142" s="687"/>
      <c r="CD142" s="687">
        <f t="shared" si="249"/>
        <v>0</v>
      </c>
      <c r="CE142" s="687">
        <f t="shared" si="243"/>
        <v>0</v>
      </c>
      <c r="CF142" s="687"/>
      <c r="CG142" s="687"/>
      <c r="CH142" s="439"/>
      <c r="CI142" s="758">
        <f t="shared" si="246"/>
        <v>0</v>
      </c>
    </row>
    <row r="143" spans="1:88" ht="27" thickTop="1" thickBot="1" x14ac:dyDescent="0.3">
      <c r="A143" s="444"/>
      <c r="B143" s="444"/>
      <c r="C143" s="446"/>
      <c r="D143" s="446"/>
      <c r="E143" s="445"/>
      <c r="F143" s="445"/>
      <c r="G143" s="444"/>
      <c r="H143" s="686" t="s">
        <v>2477</v>
      </c>
      <c r="I143" s="1046">
        <v>0</v>
      </c>
      <c r="J143" s="687"/>
      <c r="K143" s="687">
        <v>0</v>
      </c>
      <c r="L143" s="687">
        <v>0</v>
      </c>
      <c r="M143" s="687">
        <v>0</v>
      </c>
      <c r="N143" s="687"/>
      <c r="O143" s="687"/>
      <c r="P143" s="687"/>
      <c r="Q143" s="687"/>
      <c r="R143" s="687"/>
      <c r="S143" s="687">
        <v>0</v>
      </c>
      <c r="T143" s="687">
        <v>0</v>
      </c>
      <c r="U143" s="687">
        <v>0</v>
      </c>
      <c r="V143" s="687"/>
      <c r="W143" s="687"/>
      <c r="X143" s="687"/>
      <c r="Y143" s="687"/>
      <c r="Z143" s="687"/>
      <c r="AA143" s="687"/>
      <c r="AB143" s="687"/>
      <c r="AC143" s="687"/>
      <c r="AD143" s="687"/>
      <c r="AE143" s="687"/>
      <c r="AF143" s="687"/>
      <c r="AG143" s="687"/>
      <c r="AH143" s="687"/>
      <c r="AI143" s="687"/>
      <c r="AJ143" s="687"/>
      <c r="AK143" s="687"/>
      <c r="AL143" s="687"/>
      <c r="AM143" s="687"/>
      <c r="AN143" s="687"/>
      <c r="AO143" s="687"/>
      <c r="AP143" s="687"/>
      <c r="AQ143" s="687"/>
      <c r="AR143" s="687"/>
      <c r="AS143" s="687"/>
      <c r="AT143" s="687"/>
      <c r="AU143" s="687"/>
      <c r="AV143" s="687"/>
      <c r="AW143" s="687"/>
      <c r="AX143" s="687"/>
      <c r="AY143" s="687"/>
      <c r="AZ143" s="687"/>
      <c r="BA143" s="687"/>
      <c r="BB143" s="687"/>
      <c r="BC143" s="687"/>
      <c r="BD143" s="687"/>
      <c r="BE143" s="687"/>
      <c r="BF143" s="687"/>
      <c r="BG143" s="687"/>
      <c r="BH143" s="687"/>
      <c r="BI143" s="687"/>
      <c r="BJ143" s="687"/>
      <c r="BK143" s="687"/>
      <c r="BL143" s="687"/>
      <c r="BM143" s="687"/>
      <c r="BN143" s="687"/>
      <c r="BO143" s="687"/>
      <c r="BP143" s="687"/>
      <c r="BQ143" s="687"/>
      <c r="BR143" s="687"/>
      <c r="BS143" s="687"/>
      <c r="BT143" s="687"/>
      <c r="BU143" s="687"/>
      <c r="BV143" s="687">
        <v>0</v>
      </c>
      <c r="BW143" s="687">
        <v>0</v>
      </c>
      <c r="BX143" s="687">
        <v>0</v>
      </c>
      <c r="BY143" s="687">
        <v>0</v>
      </c>
      <c r="BZ143" s="687"/>
      <c r="CA143" s="687"/>
      <c r="CB143" s="687"/>
      <c r="CC143" s="687"/>
      <c r="CD143" s="687">
        <f t="shared" si="249"/>
        <v>0</v>
      </c>
      <c r="CE143" s="687">
        <f t="shared" si="243"/>
        <v>0</v>
      </c>
      <c r="CF143" s="687"/>
      <c r="CG143" s="687"/>
      <c r="CH143" s="439"/>
      <c r="CI143" s="758">
        <f t="shared" si="246"/>
        <v>0</v>
      </c>
    </row>
    <row r="144" spans="1:88" ht="27" thickTop="1" thickBot="1" x14ac:dyDescent="0.3">
      <c r="A144" s="444"/>
      <c r="B144" s="444"/>
      <c r="C144" s="446"/>
      <c r="D144" s="446"/>
      <c r="E144" s="445"/>
      <c r="F144" s="445"/>
      <c r="G144" s="444"/>
      <c r="H144" s="686" t="s">
        <v>2480</v>
      </c>
      <c r="I144" s="1046">
        <v>100000000</v>
      </c>
      <c r="J144" s="687"/>
      <c r="K144" s="687">
        <v>0</v>
      </c>
      <c r="L144" s="687">
        <v>0</v>
      </c>
      <c r="M144" s="687">
        <v>0</v>
      </c>
      <c r="N144" s="687"/>
      <c r="O144" s="687"/>
      <c r="P144" s="687"/>
      <c r="Q144" s="687"/>
      <c r="R144" s="687">
        <v>83558000</v>
      </c>
      <c r="S144" s="687">
        <v>83558000</v>
      </c>
      <c r="T144" s="687">
        <v>39061271.75</v>
      </c>
      <c r="U144" s="687">
        <v>39061271.75</v>
      </c>
      <c r="V144" s="687"/>
      <c r="W144" s="687"/>
      <c r="X144" s="687"/>
      <c r="Y144" s="687"/>
      <c r="Z144" s="687"/>
      <c r="AA144" s="687"/>
      <c r="AB144" s="687"/>
      <c r="AC144" s="687"/>
      <c r="AD144" s="687"/>
      <c r="AE144" s="687"/>
      <c r="AF144" s="687"/>
      <c r="AG144" s="687"/>
      <c r="AH144" s="687"/>
      <c r="AI144" s="687"/>
      <c r="AJ144" s="687"/>
      <c r="AK144" s="687"/>
      <c r="AL144" s="687"/>
      <c r="AM144" s="687"/>
      <c r="AN144" s="687"/>
      <c r="AO144" s="687"/>
      <c r="AP144" s="687"/>
      <c r="AQ144" s="687"/>
      <c r="AR144" s="687"/>
      <c r="AS144" s="687"/>
      <c r="AT144" s="687"/>
      <c r="AU144" s="687"/>
      <c r="AV144" s="687"/>
      <c r="AW144" s="687"/>
      <c r="AX144" s="687"/>
      <c r="AY144" s="687"/>
      <c r="AZ144" s="687"/>
      <c r="BA144" s="687"/>
      <c r="BB144" s="687"/>
      <c r="BC144" s="687"/>
      <c r="BD144" s="687"/>
      <c r="BE144" s="687"/>
      <c r="BF144" s="687"/>
      <c r="BG144" s="687"/>
      <c r="BH144" s="687"/>
      <c r="BI144" s="687"/>
      <c r="BJ144" s="687"/>
      <c r="BK144" s="687"/>
      <c r="BL144" s="687"/>
      <c r="BM144" s="687"/>
      <c r="BN144" s="687"/>
      <c r="BO144" s="687"/>
      <c r="BP144" s="687"/>
      <c r="BQ144" s="687"/>
      <c r="BR144" s="687">
        <v>16442000</v>
      </c>
      <c r="BS144" s="687">
        <v>16442000</v>
      </c>
      <c r="BT144" s="687">
        <v>0</v>
      </c>
      <c r="BU144" s="687">
        <v>0</v>
      </c>
      <c r="BV144" s="687"/>
      <c r="BW144" s="687">
        <v>0</v>
      </c>
      <c r="BX144" s="687">
        <v>0</v>
      </c>
      <c r="BY144" s="687">
        <v>0</v>
      </c>
      <c r="BZ144" s="687"/>
      <c r="CA144" s="687"/>
      <c r="CB144" s="687"/>
      <c r="CC144" s="687"/>
      <c r="CD144" s="687">
        <f t="shared" si="249"/>
        <v>100000000</v>
      </c>
      <c r="CE144" s="687">
        <f t="shared" si="243"/>
        <v>100000000</v>
      </c>
      <c r="CF144" s="687">
        <v>39061271.75</v>
      </c>
      <c r="CG144" s="687">
        <f>+CF144</f>
        <v>39061271.75</v>
      </c>
      <c r="CH144" s="439"/>
      <c r="CI144" s="758">
        <f t="shared" si="246"/>
        <v>0</v>
      </c>
    </row>
    <row r="145" spans="1:87" ht="27" thickTop="1" thickBot="1" x14ac:dyDescent="0.3">
      <c r="A145" s="444"/>
      <c r="B145" s="444"/>
      <c r="C145" s="446"/>
      <c r="D145" s="446"/>
      <c r="E145" s="445"/>
      <c r="F145" s="445"/>
      <c r="G145" s="444"/>
      <c r="H145" s="686" t="s">
        <v>2482</v>
      </c>
      <c r="I145" s="1046">
        <v>291347825.82999998</v>
      </c>
      <c r="J145" s="687"/>
      <c r="K145" s="687">
        <v>0</v>
      </c>
      <c r="L145" s="687">
        <v>0</v>
      </c>
      <c r="M145" s="687">
        <v>0</v>
      </c>
      <c r="N145" s="687"/>
      <c r="O145" s="687"/>
      <c r="P145" s="687"/>
      <c r="Q145" s="687"/>
      <c r="R145" s="687"/>
      <c r="S145" s="687">
        <v>0</v>
      </c>
      <c r="T145" s="687">
        <v>0</v>
      </c>
      <c r="U145" s="687">
        <v>0</v>
      </c>
      <c r="V145" s="687"/>
      <c r="W145" s="687"/>
      <c r="X145" s="687"/>
      <c r="Y145" s="687"/>
      <c r="Z145" s="687"/>
      <c r="AA145" s="687"/>
      <c r="AB145" s="687"/>
      <c r="AC145" s="687"/>
      <c r="AD145" s="687"/>
      <c r="AE145" s="687"/>
      <c r="AF145" s="687"/>
      <c r="AG145" s="687"/>
      <c r="AH145" s="687"/>
      <c r="AI145" s="687"/>
      <c r="AJ145" s="687"/>
      <c r="AK145" s="687"/>
      <c r="AL145" s="687"/>
      <c r="AM145" s="687"/>
      <c r="AN145" s="687"/>
      <c r="AO145" s="687"/>
      <c r="AP145" s="687"/>
      <c r="AQ145" s="687"/>
      <c r="AR145" s="687"/>
      <c r="AS145" s="687"/>
      <c r="AT145" s="687"/>
      <c r="AU145" s="687"/>
      <c r="AV145" s="687"/>
      <c r="AW145" s="687"/>
      <c r="AX145" s="687"/>
      <c r="AY145" s="687"/>
      <c r="AZ145" s="687"/>
      <c r="BA145" s="687"/>
      <c r="BB145" s="687"/>
      <c r="BC145" s="687"/>
      <c r="BD145" s="687"/>
      <c r="BE145" s="687"/>
      <c r="BF145" s="687"/>
      <c r="BG145" s="687"/>
      <c r="BH145" s="687"/>
      <c r="BI145" s="687"/>
      <c r="BJ145" s="687"/>
      <c r="BK145" s="687"/>
      <c r="BL145" s="687"/>
      <c r="BM145" s="687"/>
      <c r="BN145" s="687"/>
      <c r="BO145" s="687"/>
      <c r="BP145" s="687"/>
      <c r="BQ145" s="687"/>
      <c r="BR145" s="687">
        <v>291347825.82999998</v>
      </c>
      <c r="BS145" s="687">
        <v>291347825.82999998</v>
      </c>
      <c r="BT145" s="687">
        <v>0</v>
      </c>
      <c r="BU145" s="687">
        <v>0</v>
      </c>
      <c r="BV145" s="687"/>
      <c r="BW145" s="687">
        <v>0</v>
      </c>
      <c r="BX145" s="687">
        <v>0</v>
      </c>
      <c r="BY145" s="687">
        <v>0</v>
      </c>
      <c r="BZ145" s="687"/>
      <c r="CA145" s="687"/>
      <c r="CB145" s="687"/>
      <c r="CC145" s="687"/>
      <c r="CD145" s="687">
        <f t="shared" si="249"/>
        <v>291347825.82999998</v>
      </c>
      <c r="CE145" s="687">
        <f t="shared" si="243"/>
        <v>291347825.82999998</v>
      </c>
      <c r="CF145" s="687"/>
      <c r="CG145" s="687"/>
      <c r="CH145" s="439"/>
      <c r="CI145" s="758">
        <f t="shared" si="246"/>
        <v>0</v>
      </c>
    </row>
    <row r="146" spans="1:87" ht="65.25" thickTop="1" thickBot="1" x14ac:dyDescent="0.3">
      <c r="A146" s="444"/>
      <c r="B146" s="444"/>
      <c r="C146" s="446"/>
      <c r="D146" s="446"/>
      <c r="E146" s="445"/>
      <c r="F146" s="445"/>
      <c r="G146" s="444"/>
      <c r="H146" s="686" t="s">
        <v>2484</v>
      </c>
      <c r="I146" s="1046">
        <v>0</v>
      </c>
      <c r="J146" s="687"/>
      <c r="K146" s="687">
        <v>0</v>
      </c>
      <c r="L146" s="687">
        <v>0</v>
      </c>
      <c r="M146" s="687">
        <v>0</v>
      </c>
      <c r="N146" s="687"/>
      <c r="O146" s="687"/>
      <c r="P146" s="687"/>
      <c r="Q146" s="687"/>
      <c r="R146" s="687"/>
      <c r="S146" s="687">
        <v>0</v>
      </c>
      <c r="T146" s="687">
        <v>0</v>
      </c>
      <c r="U146" s="687">
        <v>0</v>
      </c>
      <c r="V146" s="687"/>
      <c r="W146" s="687"/>
      <c r="X146" s="687"/>
      <c r="Y146" s="687"/>
      <c r="Z146" s="687"/>
      <c r="AA146" s="687"/>
      <c r="AB146" s="687"/>
      <c r="AC146" s="687"/>
      <c r="AD146" s="687"/>
      <c r="AE146" s="687"/>
      <c r="AF146" s="687"/>
      <c r="AG146" s="687"/>
      <c r="AH146" s="687"/>
      <c r="AI146" s="687"/>
      <c r="AJ146" s="687"/>
      <c r="AK146" s="687"/>
      <c r="AL146" s="687"/>
      <c r="AM146" s="687"/>
      <c r="AN146" s="687"/>
      <c r="AO146" s="687"/>
      <c r="AP146" s="687"/>
      <c r="AQ146" s="687"/>
      <c r="AR146" s="687"/>
      <c r="AS146" s="687"/>
      <c r="AT146" s="687"/>
      <c r="AU146" s="687"/>
      <c r="AV146" s="687"/>
      <c r="AW146" s="687"/>
      <c r="AX146" s="687"/>
      <c r="AY146" s="687"/>
      <c r="AZ146" s="687"/>
      <c r="BA146" s="687"/>
      <c r="BB146" s="687"/>
      <c r="BC146" s="687"/>
      <c r="BD146" s="687"/>
      <c r="BE146" s="687"/>
      <c r="BF146" s="687"/>
      <c r="BG146" s="687"/>
      <c r="BH146" s="687"/>
      <c r="BI146" s="687"/>
      <c r="BJ146" s="687"/>
      <c r="BK146" s="687"/>
      <c r="BL146" s="687"/>
      <c r="BM146" s="687"/>
      <c r="BN146" s="687"/>
      <c r="BO146" s="687"/>
      <c r="BP146" s="687"/>
      <c r="BQ146" s="687"/>
      <c r="BR146" s="687"/>
      <c r="BS146" s="687">
        <v>0</v>
      </c>
      <c r="BT146" s="687">
        <v>0</v>
      </c>
      <c r="BU146" s="687">
        <v>0</v>
      </c>
      <c r="BV146" s="687"/>
      <c r="BW146" s="687">
        <v>0</v>
      </c>
      <c r="BX146" s="687">
        <v>0</v>
      </c>
      <c r="BY146" s="687">
        <v>0</v>
      </c>
      <c r="BZ146" s="687"/>
      <c r="CA146" s="687"/>
      <c r="CB146" s="687"/>
      <c r="CC146" s="687"/>
      <c r="CD146" s="687">
        <f t="shared" si="249"/>
        <v>0</v>
      </c>
      <c r="CE146" s="687">
        <f t="shared" si="243"/>
        <v>0</v>
      </c>
      <c r="CF146" s="687"/>
      <c r="CG146" s="687"/>
      <c r="CH146" s="439"/>
      <c r="CI146" s="758">
        <f t="shared" si="246"/>
        <v>0</v>
      </c>
    </row>
    <row r="147" spans="1:87" ht="65.25" thickTop="1" thickBot="1" x14ac:dyDescent="0.3">
      <c r="A147" s="444"/>
      <c r="B147" s="444"/>
      <c r="C147" s="446"/>
      <c r="D147" s="446"/>
      <c r="E147" s="445"/>
      <c r="F147" s="445"/>
      <c r="G147" s="444"/>
      <c r="H147" s="686" t="s">
        <v>2485</v>
      </c>
      <c r="I147" s="1046">
        <v>3845232859</v>
      </c>
      <c r="J147" s="687">
        <v>1815000000</v>
      </c>
      <c r="K147" s="687">
        <v>1815000000</v>
      </c>
      <c r="L147" s="687">
        <v>1196709691.8600001</v>
      </c>
      <c r="M147" s="687">
        <v>911485059.53000021</v>
      </c>
      <c r="N147" s="687">
        <v>1300000000</v>
      </c>
      <c r="O147" s="687">
        <v>1300000000</v>
      </c>
      <c r="P147" s="687">
        <v>1300000000</v>
      </c>
      <c r="Q147" s="687">
        <v>1300000000</v>
      </c>
      <c r="R147" s="687"/>
      <c r="S147" s="687">
        <v>0</v>
      </c>
      <c r="T147" s="687">
        <v>0</v>
      </c>
      <c r="U147" s="687">
        <v>0</v>
      </c>
      <c r="V147" s="687"/>
      <c r="W147" s="687"/>
      <c r="X147" s="687"/>
      <c r="Y147" s="687"/>
      <c r="Z147" s="687"/>
      <c r="AA147" s="687"/>
      <c r="AB147" s="687"/>
      <c r="AC147" s="687"/>
      <c r="AD147" s="687"/>
      <c r="AE147" s="687"/>
      <c r="AF147" s="687"/>
      <c r="AG147" s="687"/>
      <c r="AH147" s="687"/>
      <c r="AI147" s="687"/>
      <c r="AJ147" s="687"/>
      <c r="AK147" s="687"/>
      <c r="AL147" s="687"/>
      <c r="AM147" s="687"/>
      <c r="AN147" s="687"/>
      <c r="AO147" s="687"/>
      <c r="AP147" s="687"/>
      <c r="AQ147" s="687"/>
      <c r="AR147" s="687"/>
      <c r="AS147" s="687"/>
      <c r="AT147" s="687"/>
      <c r="AU147" s="687"/>
      <c r="AV147" s="687"/>
      <c r="AW147" s="687"/>
      <c r="AX147" s="687"/>
      <c r="AY147" s="687"/>
      <c r="AZ147" s="687"/>
      <c r="BA147" s="687"/>
      <c r="BB147" s="687"/>
      <c r="BC147" s="687"/>
      <c r="BD147" s="687"/>
      <c r="BE147" s="687"/>
      <c r="BF147" s="687"/>
      <c r="BG147" s="687"/>
      <c r="BH147" s="687"/>
      <c r="BI147" s="687"/>
      <c r="BJ147" s="687"/>
      <c r="BK147" s="687"/>
      <c r="BL147" s="687"/>
      <c r="BM147" s="687"/>
      <c r="BN147" s="687"/>
      <c r="BO147" s="687"/>
      <c r="BP147" s="687"/>
      <c r="BQ147" s="687"/>
      <c r="BR147" s="687">
        <v>730232859</v>
      </c>
      <c r="BS147" s="687">
        <v>730232859</v>
      </c>
      <c r="BT147" s="687">
        <v>730232859</v>
      </c>
      <c r="BU147" s="687">
        <v>730232859</v>
      </c>
      <c r="BV147" s="687"/>
      <c r="BW147" s="687">
        <v>0</v>
      </c>
      <c r="BX147" s="687">
        <v>0</v>
      </c>
      <c r="BY147" s="687">
        <v>0</v>
      </c>
      <c r="BZ147" s="687"/>
      <c r="CA147" s="687"/>
      <c r="CB147" s="687"/>
      <c r="CC147" s="687"/>
      <c r="CD147" s="687">
        <f t="shared" si="249"/>
        <v>3845232859</v>
      </c>
      <c r="CE147" s="687">
        <f t="shared" si="243"/>
        <v>3845232859</v>
      </c>
      <c r="CF147" s="687">
        <f>3038190550.86+188752000</f>
        <v>3226942550.8600001</v>
      </c>
      <c r="CG147" s="687">
        <f>2752965918.53+188752000</f>
        <v>2941717918.5300002</v>
      </c>
      <c r="CH147" s="439"/>
      <c r="CI147" s="758">
        <f t="shared" si="246"/>
        <v>0</v>
      </c>
    </row>
    <row r="148" spans="1:87" ht="103.5" thickTop="1" thickBot="1" x14ac:dyDescent="0.3">
      <c r="A148" s="444"/>
      <c r="B148" s="444"/>
      <c r="C148" s="446"/>
      <c r="D148" s="446"/>
      <c r="E148" s="445"/>
      <c r="F148" s="445"/>
      <c r="G148" s="444"/>
      <c r="H148" s="686" t="s">
        <v>2487</v>
      </c>
      <c r="I148" s="1046">
        <v>108652174.17</v>
      </c>
      <c r="J148" s="687"/>
      <c r="K148" s="687"/>
      <c r="L148" s="687"/>
      <c r="M148" s="687"/>
      <c r="N148" s="687"/>
      <c r="O148" s="687"/>
      <c r="P148" s="687"/>
      <c r="Q148" s="687"/>
      <c r="R148" s="687">
        <v>100000000</v>
      </c>
      <c r="S148" s="687">
        <v>100000000</v>
      </c>
      <c r="T148" s="687">
        <v>100000000</v>
      </c>
      <c r="U148" s="687">
        <v>100000000</v>
      </c>
      <c r="V148" s="687"/>
      <c r="W148" s="687"/>
      <c r="X148" s="687"/>
      <c r="Y148" s="687"/>
      <c r="Z148" s="687"/>
      <c r="AA148" s="687"/>
      <c r="AB148" s="687"/>
      <c r="AC148" s="687"/>
      <c r="AD148" s="687"/>
      <c r="AE148" s="687"/>
      <c r="AF148" s="687"/>
      <c r="AG148" s="687"/>
      <c r="AH148" s="687"/>
      <c r="AI148" s="687"/>
      <c r="AJ148" s="687"/>
      <c r="AK148" s="687"/>
      <c r="AL148" s="687"/>
      <c r="AM148" s="687"/>
      <c r="AN148" s="687"/>
      <c r="AO148" s="687"/>
      <c r="AP148" s="687"/>
      <c r="AQ148" s="687"/>
      <c r="AR148" s="687"/>
      <c r="AS148" s="687"/>
      <c r="AT148" s="687"/>
      <c r="AU148" s="687"/>
      <c r="AV148" s="687"/>
      <c r="AW148" s="687"/>
      <c r="AX148" s="687"/>
      <c r="AY148" s="687"/>
      <c r="AZ148" s="687"/>
      <c r="BA148" s="687"/>
      <c r="BB148" s="687"/>
      <c r="BC148" s="687"/>
      <c r="BD148" s="687"/>
      <c r="BE148" s="687"/>
      <c r="BF148" s="687"/>
      <c r="BG148" s="687"/>
      <c r="BH148" s="687"/>
      <c r="BI148" s="687"/>
      <c r="BJ148" s="687"/>
      <c r="BK148" s="687"/>
      <c r="BL148" s="687"/>
      <c r="BM148" s="687"/>
      <c r="BN148" s="687"/>
      <c r="BO148" s="687"/>
      <c r="BP148" s="687"/>
      <c r="BQ148" s="687"/>
      <c r="BR148" s="687">
        <v>8652174.1699999999</v>
      </c>
      <c r="BS148" s="687">
        <v>8652174.1699999999</v>
      </c>
      <c r="BT148" s="687">
        <v>8652174.1699999999</v>
      </c>
      <c r="BU148" s="687">
        <v>8652174.1699999999</v>
      </c>
      <c r="BV148" s="687"/>
      <c r="BW148" s="687">
        <v>0</v>
      </c>
      <c r="BX148" s="687">
        <v>0</v>
      </c>
      <c r="BY148" s="687">
        <v>0</v>
      </c>
      <c r="BZ148" s="687"/>
      <c r="CA148" s="687"/>
      <c r="CB148" s="687"/>
      <c r="CC148" s="687"/>
      <c r="CD148" s="687">
        <f t="shared" si="249"/>
        <v>108652174.17</v>
      </c>
      <c r="CE148" s="687">
        <f t="shared" si="243"/>
        <v>108652174.17</v>
      </c>
      <c r="CF148" s="687">
        <v>108652174.17</v>
      </c>
      <c r="CG148" s="687">
        <f>+CF148</f>
        <v>108652174.17</v>
      </c>
      <c r="CH148" s="439"/>
      <c r="CI148" s="758">
        <f t="shared" si="246"/>
        <v>0</v>
      </c>
    </row>
    <row r="149" spans="1:87" ht="27" thickTop="1" thickBot="1" x14ac:dyDescent="0.3">
      <c r="A149" s="717"/>
      <c r="B149" s="717"/>
      <c r="C149" s="716"/>
      <c r="D149" s="716"/>
      <c r="E149" s="716"/>
      <c r="F149" s="716"/>
      <c r="G149" s="717"/>
      <c r="H149" s="708" t="s">
        <v>2241</v>
      </c>
      <c r="I149" s="1047">
        <f t="shared" ref="I149:BS149" si="252">+I150</f>
        <v>1619300000</v>
      </c>
      <c r="J149" s="1047">
        <f t="shared" si="252"/>
        <v>0</v>
      </c>
      <c r="K149" s="1047">
        <f t="shared" si="252"/>
        <v>0</v>
      </c>
      <c r="L149" s="1047">
        <f t="shared" si="252"/>
        <v>0</v>
      </c>
      <c r="M149" s="1047">
        <f t="shared" si="252"/>
        <v>0</v>
      </c>
      <c r="N149" s="1047">
        <f t="shared" si="252"/>
        <v>0</v>
      </c>
      <c r="O149" s="1047">
        <f t="shared" si="252"/>
        <v>0</v>
      </c>
      <c r="P149" s="1047">
        <f t="shared" si="252"/>
        <v>0</v>
      </c>
      <c r="Q149" s="1047">
        <f t="shared" si="252"/>
        <v>0</v>
      </c>
      <c r="R149" s="1047">
        <f t="shared" si="252"/>
        <v>63442000</v>
      </c>
      <c r="S149" s="1047">
        <f t="shared" si="252"/>
        <v>63442000</v>
      </c>
      <c r="T149" s="1047">
        <f t="shared" si="252"/>
        <v>63442000</v>
      </c>
      <c r="U149" s="1047">
        <f t="shared" si="252"/>
        <v>63442000</v>
      </c>
      <c r="V149" s="1047">
        <f t="shared" si="252"/>
        <v>69300000</v>
      </c>
      <c r="W149" s="1047">
        <f t="shared" si="252"/>
        <v>69298965.289999962</v>
      </c>
      <c r="X149" s="1047">
        <f t="shared" si="252"/>
        <v>69298965.289999962</v>
      </c>
      <c r="Y149" s="1047">
        <f t="shared" si="252"/>
        <v>69298965.289999962</v>
      </c>
      <c r="Z149" s="1047">
        <f t="shared" si="252"/>
        <v>0</v>
      </c>
      <c r="AA149" s="1047">
        <f t="shared" si="252"/>
        <v>0</v>
      </c>
      <c r="AB149" s="1047">
        <f t="shared" si="252"/>
        <v>0</v>
      </c>
      <c r="AC149" s="1047">
        <f t="shared" si="252"/>
        <v>0</v>
      </c>
      <c r="AD149" s="1047">
        <f t="shared" si="252"/>
        <v>100000000</v>
      </c>
      <c r="AE149" s="1047">
        <f t="shared" si="252"/>
        <v>100000000</v>
      </c>
      <c r="AF149" s="1047">
        <f t="shared" si="252"/>
        <v>100000000</v>
      </c>
      <c r="AG149" s="1047">
        <f t="shared" si="252"/>
        <v>100000000</v>
      </c>
      <c r="AH149" s="1047">
        <f t="shared" si="252"/>
        <v>0</v>
      </c>
      <c r="AI149" s="1047">
        <f t="shared" si="252"/>
        <v>0</v>
      </c>
      <c r="AJ149" s="1047">
        <f t="shared" si="252"/>
        <v>0</v>
      </c>
      <c r="AK149" s="1047">
        <f t="shared" si="252"/>
        <v>0</v>
      </c>
      <c r="AL149" s="1047">
        <f t="shared" si="252"/>
        <v>900000</v>
      </c>
      <c r="AM149" s="1047">
        <f t="shared" si="252"/>
        <v>900000</v>
      </c>
      <c r="AN149" s="1047">
        <f t="shared" si="252"/>
        <v>900000</v>
      </c>
      <c r="AO149" s="1047">
        <f t="shared" si="252"/>
        <v>900000</v>
      </c>
      <c r="AP149" s="1047">
        <f t="shared" si="252"/>
        <v>0</v>
      </c>
      <c r="AQ149" s="1047">
        <f t="shared" si="252"/>
        <v>0</v>
      </c>
      <c r="AR149" s="1047">
        <f t="shared" si="252"/>
        <v>0</v>
      </c>
      <c r="AS149" s="1047">
        <f t="shared" si="252"/>
        <v>0</v>
      </c>
      <c r="AT149" s="1047">
        <f t="shared" si="252"/>
        <v>0</v>
      </c>
      <c r="AU149" s="1047">
        <f t="shared" si="252"/>
        <v>0</v>
      </c>
      <c r="AV149" s="1047">
        <f t="shared" si="252"/>
        <v>0</v>
      </c>
      <c r="AW149" s="1047">
        <f t="shared" si="252"/>
        <v>0</v>
      </c>
      <c r="AX149" s="1047">
        <f t="shared" si="252"/>
        <v>900000</v>
      </c>
      <c r="AY149" s="1047">
        <f t="shared" si="252"/>
        <v>900000</v>
      </c>
      <c r="AZ149" s="1047">
        <f t="shared" si="252"/>
        <v>900000</v>
      </c>
      <c r="BA149" s="1047">
        <f t="shared" si="252"/>
        <v>900000</v>
      </c>
      <c r="BB149" s="1047">
        <f t="shared" si="252"/>
        <v>1800000</v>
      </c>
      <c r="BC149" s="1047">
        <f t="shared" si="252"/>
        <v>1800000</v>
      </c>
      <c r="BD149" s="1047">
        <f t="shared" si="252"/>
        <v>1800000</v>
      </c>
      <c r="BE149" s="1047">
        <f t="shared" si="252"/>
        <v>1800000</v>
      </c>
      <c r="BF149" s="1047">
        <f t="shared" si="252"/>
        <v>181758000</v>
      </c>
      <c r="BG149" s="1047">
        <f t="shared" si="252"/>
        <v>181758000</v>
      </c>
      <c r="BH149" s="1047">
        <f t="shared" si="252"/>
        <v>181758000</v>
      </c>
      <c r="BI149" s="1047">
        <f t="shared" si="252"/>
        <v>181758000</v>
      </c>
      <c r="BJ149" s="1047">
        <f t="shared" si="252"/>
        <v>0</v>
      </c>
      <c r="BK149" s="1047">
        <f t="shared" si="252"/>
        <v>0</v>
      </c>
      <c r="BL149" s="1047">
        <f t="shared" si="252"/>
        <v>0</v>
      </c>
      <c r="BM149" s="1047">
        <f t="shared" si="252"/>
        <v>0</v>
      </c>
      <c r="BN149" s="1047">
        <f t="shared" si="252"/>
        <v>0</v>
      </c>
      <c r="BO149" s="1047">
        <f t="shared" si="252"/>
        <v>0</v>
      </c>
      <c r="BP149" s="1047">
        <f t="shared" si="252"/>
        <v>0</v>
      </c>
      <c r="BQ149" s="1047">
        <f t="shared" si="252"/>
        <v>0</v>
      </c>
      <c r="BR149" s="1047">
        <f t="shared" si="252"/>
        <v>1146400000</v>
      </c>
      <c r="BS149" s="1047">
        <f t="shared" si="252"/>
        <v>1146400000</v>
      </c>
      <c r="BT149" s="1047">
        <f t="shared" ref="BT149:CC149" si="253">+BT150</f>
        <v>1146400000</v>
      </c>
      <c r="BU149" s="1047">
        <f t="shared" si="253"/>
        <v>1091237483</v>
      </c>
      <c r="BV149" s="1047">
        <f t="shared" si="253"/>
        <v>0</v>
      </c>
      <c r="BW149" s="1047">
        <f t="shared" si="253"/>
        <v>0</v>
      </c>
      <c r="BX149" s="1047">
        <f t="shared" si="253"/>
        <v>0</v>
      </c>
      <c r="BY149" s="1047">
        <f t="shared" si="253"/>
        <v>0</v>
      </c>
      <c r="BZ149" s="1047">
        <f t="shared" si="253"/>
        <v>54800000</v>
      </c>
      <c r="CA149" s="1047">
        <f t="shared" si="253"/>
        <v>54800000</v>
      </c>
      <c r="CB149" s="1047">
        <f t="shared" si="253"/>
        <v>54800000</v>
      </c>
      <c r="CC149" s="1047">
        <f t="shared" si="253"/>
        <v>54800000</v>
      </c>
      <c r="CD149" s="752">
        <f>+J149+N149+R149+V149+Z149+AD149+AH149+AL149+AP149+AT149+AX149+BB149+BF149+BJ149+BN149+BR149+BV149+BZ149</f>
        <v>1619300000</v>
      </c>
      <c r="CE149" s="752">
        <f>+K149+O149+S149+W149+AA149+AE149+AI149+AM149+AQ149+AU149+AY149+BC149+BG149+BK149+BO149+BS149+BW149+CA149</f>
        <v>1619298965.29</v>
      </c>
      <c r="CF149" s="752">
        <f>+CF150</f>
        <v>1619298965</v>
      </c>
      <c r="CG149" s="752">
        <f>+CG150</f>
        <v>1564136448</v>
      </c>
      <c r="CH149" s="709"/>
      <c r="CI149" s="758">
        <f t="shared" si="246"/>
        <v>0</v>
      </c>
    </row>
    <row r="150" spans="1:87" ht="27" thickTop="1" thickBot="1" x14ac:dyDescent="0.3">
      <c r="A150" s="710"/>
      <c r="B150" s="710"/>
      <c r="C150" s="711"/>
      <c r="D150" s="711"/>
      <c r="E150" s="712"/>
      <c r="F150" s="712"/>
      <c r="G150" s="710"/>
      <c r="H150" s="689" t="s">
        <v>2177</v>
      </c>
      <c r="I150" s="1048">
        <f t="shared" ref="I150:BS150" si="254">+SUM(I151:I155)</f>
        <v>1619300000</v>
      </c>
      <c r="J150" s="1048">
        <f t="shared" si="254"/>
        <v>0</v>
      </c>
      <c r="K150" s="1048">
        <f t="shared" si="254"/>
        <v>0</v>
      </c>
      <c r="L150" s="1048">
        <f t="shared" si="254"/>
        <v>0</v>
      </c>
      <c r="M150" s="1048">
        <f t="shared" si="254"/>
        <v>0</v>
      </c>
      <c r="N150" s="1048">
        <f t="shared" si="254"/>
        <v>0</v>
      </c>
      <c r="O150" s="1048">
        <f t="shared" si="254"/>
        <v>0</v>
      </c>
      <c r="P150" s="1048">
        <f t="shared" si="254"/>
        <v>0</v>
      </c>
      <c r="Q150" s="1048">
        <f t="shared" si="254"/>
        <v>0</v>
      </c>
      <c r="R150" s="1048">
        <f t="shared" si="254"/>
        <v>63442000</v>
      </c>
      <c r="S150" s="1048">
        <f t="shared" si="254"/>
        <v>63442000</v>
      </c>
      <c r="T150" s="1048">
        <f t="shared" si="254"/>
        <v>63442000</v>
      </c>
      <c r="U150" s="1048">
        <f t="shared" si="254"/>
        <v>63442000</v>
      </c>
      <c r="V150" s="1048">
        <f t="shared" si="254"/>
        <v>69300000</v>
      </c>
      <c r="W150" s="1048">
        <f t="shared" si="254"/>
        <v>69298965.289999962</v>
      </c>
      <c r="X150" s="1048">
        <f t="shared" si="254"/>
        <v>69298965.289999962</v>
      </c>
      <c r="Y150" s="1048">
        <f t="shared" si="254"/>
        <v>69298965.289999962</v>
      </c>
      <c r="Z150" s="1048">
        <f t="shared" si="254"/>
        <v>0</v>
      </c>
      <c r="AA150" s="1048">
        <f t="shared" si="254"/>
        <v>0</v>
      </c>
      <c r="AB150" s="1048">
        <f t="shared" si="254"/>
        <v>0</v>
      </c>
      <c r="AC150" s="1048">
        <f t="shared" si="254"/>
        <v>0</v>
      </c>
      <c r="AD150" s="1048">
        <f t="shared" si="254"/>
        <v>100000000</v>
      </c>
      <c r="AE150" s="1048">
        <f t="shared" si="254"/>
        <v>100000000</v>
      </c>
      <c r="AF150" s="1048">
        <f t="shared" si="254"/>
        <v>100000000</v>
      </c>
      <c r="AG150" s="1048">
        <f t="shared" si="254"/>
        <v>100000000</v>
      </c>
      <c r="AH150" s="1048">
        <f t="shared" si="254"/>
        <v>0</v>
      </c>
      <c r="AI150" s="1048">
        <f t="shared" si="254"/>
        <v>0</v>
      </c>
      <c r="AJ150" s="1048">
        <f t="shared" si="254"/>
        <v>0</v>
      </c>
      <c r="AK150" s="1048">
        <f t="shared" si="254"/>
        <v>0</v>
      </c>
      <c r="AL150" s="1048">
        <f t="shared" si="254"/>
        <v>900000</v>
      </c>
      <c r="AM150" s="1048">
        <f t="shared" si="254"/>
        <v>900000</v>
      </c>
      <c r="AN150" s="1048">
        <f t="shared" si="254"/>
        <v>900000</v>
      </c>
      <c r="AO150" s="1048">
        <f t="shared" si="254"/>
        <v>900000</v>
      </c>
      <c r="AP150" s="1048">
        <f t="shared" si="254"/>
        <v>0</v>
      </c>
      <c r="AQ150" s="1048">
        <f t="shared" si="254"/>
        <v>0</v>
      </c>
      <c r="AR150" s="1048">
        <f t="shared" si="254"/>
        <v>0</v>
      </c>
      <c r="AS150" s="1048">
        <f t="shared" si="254"/>
        <v>0</v>
      </c>
      <c r="AT150" s="1048">
        <f t="shared" si="254"/>
        <v>0</v>
      </c>
      <c r="AU150" s="1048">
        <f t="shared" si="254"/>
        <v>0</v>
      </c>
      <c r="AV150" s="1048">
        <f t="shared" si="254"/>
        <v>0</v>
      </c>
      <c r="AW150" s="1048">
        <f t="shared" si="254"/>
        <v>0</v>
      </c>
      <c r="AX150" s="1048">
        <f t="shared" si="254"/>
        <v>900000</v>
      </c>
      <c r="AY150" s="1048">
        <f t="shared" si="254"/>
        <v>900000</v>
      </c>
      <c r="AZ150" s="1048">
        <f t="shared" si="254"/>
        <v>900000</v>
      </c>
      <c r="BA150" s="1048">
        <f t="shared" si="254"/>
        <v>900000</v>
      </c>
      <c r="BB150" s="1048">
        <f t="shared" si="254"/>
        <v>1800000</v>
      </c>
      <c r="BC150" s="1048">
        <f t="shared" si="254"/>
        <v>1800000</v>
      </c>
      <c r="BD150" s="1048">
        <f t="shared" si="254"/>
        <v>1800000</v>
      </c>
      <c r="BE150" s="1048">
        <f t="shared" si="254"/>
        <v>1800000</v>
      </c>
      <c r="BF150" s="1048">
        <f t="shared" si="254"/>
        <v>181758000</v>
      </c>
      <c r="BG150" s="1048">
        <f t="shared" si="254"/>
        <v>181758000</v>
      </c>
      <c r="BH150" s="1048">
        <f t="shared" si="254"/>
        <v>181758000</v>
      </c>
      <c r="BI150" s="1048">
        <f t="shared" si="254"/>
        <v>181758000</v>
      </c>
      <c r="BJ150" s="1048">
        <f t="shared" si="254"/>
        <v>0</v>
      </c>
      <c r="BK150" s="1048">
        <f t="shared" si="254"/>
        <v>0</v>
      </c>
      <c r="BL150" s="1048">
        <f t="shared" si="254"/>
        <v>0</v>
      </c>
      <c r="BM150" s="1048">
        <f t="shared" si="254"/>
        <v>0</v>
      </c>
      <c r="BN150" s="1048">
        <f t="shared" si="254"/>
        <v>0</v>
      </c>
      <c r="BO150" s="1048">
        <f t="shared" si="254"/>
        <v>0</v>
      </c>
      <c r="BP150" s="1048">
        <f t="shared" si="254"/>
        <v>0</v>
      </c>
      <c r="BQ150" s="1048">
        <f t="shared" si="254"/>
        <v>0</v>
      </c>
      <c r="BR150" s="1048">
        <f t="shared" si="254"/>
        <v>1146400000</v>
      </c>
      <c r="BS150" s="1048">
        <f t="shared" si="254"/>
        <v>1146400000</v>
      </c>
      <c r="BT150" s="1048">
        <f t="shared" ref="BT150:CC150" si="255">+SUM(BT151:BT155)</f>
        <v>1146400000</v>
      </c>
      <c r="BU150" s="1048">
        <f t="shared" si="255"/>
        <v>1091237483</v>
      </c>
      <c r="BV150" s="1048">
        <f t="shared" si="255"/>
        <v>0</v>
      </c>
      <c r="BW150" s="1048">
        <f t="shared" si="255"/>
        <v>0</v>
      </c>
      <c r="BX150" s="1048">
        <f t="shared" si="255"/>
        <v>0</v>
      </c>
      <c r="BY150" s="1048">
        <f t="shared" si="255"/>
        <v>0</v>
      </c>
      <c r="BZ150" s="1048">
        <f t="shared" si="255"/>
        <v>54800000</v>
      </c>
      <c r="CA150" s="1048">
        <f t="shared" si="255"/>
        <v>54800000</v>
      </c>
      <c r="CB150" s="1048">
        <f t="shared" si="255"/>
        <v>54800000</v>
      </c>
      <c r="CC150" s="1048">
        <f t="shared" si="255"/>
        <v>54800000</v>
      </c>
      <c r="CD150" s="1191">
        <f t="shared" ref="CD150:CD155" si="256">+J150+N150+R150+V150+Z150+AD150+AH150+AL150+AP150+AT150+AX150+BB150+BF150+BJ150+BN150+BR150+BV150+BZ150</f>
        <v>1619300000</v>
      </c>
      <c r="CE150" s="1191">
        <f>+K150+O150+S150+W150+AA150+AE150+AI150+AM150+AQ150+AU150+AY150+BC150+BG150+BK150+BO150+BS150+BW150+CA150</f>
        <v>1619298965.29</v>
      </c>
      <c r="CF150" s="1191">
        <f>+'Anexo 5.2. infor Gastos mesa 55'!AA97</f>
        <v>1619298965</v>
      </c>
      <c r="CG150" s="1191">
        <f>+'Anexo 5.2. infor Gastos mesa 55'!AB97</f>
        <v>1564136448</v>
      </c>
      <c r="CH150" s="700"/>
      <c r="CI150" s="758">
        <f t="shared" si="246"/>
        <v>0</v>
      </c>
    </row>
    <row r="151" spans="1:87" ht="52.5" thickTop="1" thickBot="1" x14ac:dyDescent="0.3">
      <c r="A151" s="444"/>
      <c r="B151" s="444"/>
      <c r="C151" s="446"/>
      <c r="D151" s="446"/>
      <c r="E151" s="445"/>
      <c r="F151" s="445"/>
      <c r="G151" s="444"/>
      <c r="H151" s="686" t="s">
        <v>2489</v>
      </c>
      <c r="I151" s="1046">
        <v>300000000</v>
      </c>
      <c r="J151" s="687"/>
      <c r="K151" s="687"/>
      <c r="L151" s="687"/>
      <c r="M151" s="687"/>
      <c r="N151" s="687"/>
      <c r="O151" s="687"/>
      <c r="P151" s="687"/>
      <c r="Q151" s="687"/>
      <c r="R151" s="687">
        <v>63442000</v>
      </c>
      <c r="S151" s="687">
        <v>63442000</v>
      </c>
      <c r="T151" s="687">
        <v>63442000</v>
      </c>
      <c r="U151" s="687">
        <v>63442000</v>
      </c>
      <c r="V151" s="687"/>
      <c r="W151" s="687"/>
      <c r="X151" s="687"/>
      <c r="Y151" s="687"/>
      <c r="Z151" s="687"/>
      <c r="AA151" s="687"/>
      <c r="AB151" s="687"/>
      <c r="AC151" s="687"/>
      <c r="AD151" s="687"/>
      <c r="AE151" s="687"/>
      <c r="AF151" s="687"/>
      <c r="AG151" s="687"/>
      <c r="AH151" s="687"/>
      <c r="AI151" s="687"/>
      <c r="AJ151" s="687"/>
      <c r="AK151" s="687"/>
      <c r="AL151" s="687"/>
      <c r="AM151" s="687"/>
      <c r="AN151" s="687"/>
      <c r="AO151" s="687"/>
      <c r="AP151" s="687"/>
      <c r="AQ151" s="687"/>
      <c r="AR151" s="687"/>
      <c r="AS151" s="687"/>
      <c r="AT151" s="687"/>
      <c r="AU151" s="687"/>
      <c r="AV151" s="687"/>
      <c r="AW151" s="687"/>
      <c r="AX151" s="687"/>
      <c r="AY151" s="687"/>
      <c r="AZ151" s="687"/>
      <c r="BA151" s="687"/>
      <c r="BB151" s="687"/>
      <c r="BC151" s="687"/>
      <c r="BD151" s="687"/>
      <c r="BE151" s="687"/>
      <c r="BF151" s="687">
        <v>181758000</v>
      </c>
      <c r="BG151" s="687">
        <v>181758000</v>
      </c>
      <c r="BH151" s="687">
        <v>181758000</v>
      </c>
      <c r="BI151" s="687">
        <v>181758000</v>
      </c>
      <c r="BJ151" s="687"/>
      <c r="BK151" s="687"/>
      <c r="BL151" s="687"/>
      <c r="BM151" s="687"/>
      <c r="BN151" s="687"/>
      <c r="BO151" s="687"/>
      <c r="BP151" s="687"/>
      <c r="BQ151" s="687"/>
      <c r="BS151" s="687"/>
      <c r="BT151" s="687"/>
      <c r="BU151" s="687"/>
      <c r="BV151" s="687"/>
      <c r="BW151" s="687"/>
      <c r="BX151" s="687"/>
      <c r="BY151" s="687"/>
      <c r="BZ151" s="687">
        <v>54800000</v>
      </c>
      <c r="CA151" s="687">
        <v>54800000</v>
      </c>
      <c r="CB151" s="687">
        <v>54800000</v>
      </c>
      <c r="CC151" s="687">
        <v>54800000</v>
      </c>
      <c r="CD151" s="1192">
        <f t="shared" si="256"/>
        <v>300000000</v>
      </c>
      <c r="CE151" s="1192">
        <f t="shared" si="243"/>
        <v>300000000</v>
      </c>
      <c r="CF151" s="1192">
        <f>+CE151</f>
        <v>300000000</v>
      </c>
      <c r="CG151" s="1192">
        <v>300000000</v>
      </c>
      <c r="CH151" s="439"/>
      <c r="CI151" s="758">
        <f t="shared" si="246"/>
        <v>0</v>
      </c>
    </row>
    <row r="152" spans="1:87" ht="39.75" thickTop="1" thickBot="1" x14ac:dyDescent="0.3">
      <c r="A152" s="444"/>
      <c r="B152" s="444"/>
      <c r="C152" s="446"/>
      <c r="D152" s="446"/>
      <c r="E152" s="445"/>
      <c r="F152" s="445"/>
      <c r="G152" s="444"/>
      <c r="H152" s="686" t="s">
        <v>2491</v>
      </c>
      <c r="I152" s="1046">
        <v>355858000</v>
      </c>
      <c r="J152" s="687"/>
      <c r="K152" s="687"/>
      <c r="L152" s="687"/>
      <c r="M152" s="687"/>
      <c r="N152" s="687"/>
      <c r="O152" s="687"/>
      <c r="P152" s="687"/>
      <c r="Q152" s="687"/>
      <c r="R152" s="687"/>
      <c r="S152" s="687"/>
      <c r="T152" s="687"/>
      <c r="U152" s="687"/>
      <c r="V152" s="687">
        <v>69300000</v>
      </c>
      <c r="W152" s="687">
        <v>69298965.289999962</v>
      </c>
      <c r="X152" s="687">
        <v>69298965.289999962</v>
      </c>
      <c r="Y152" s="687">
        <v>69298965.289999962</v>
      </c>
      <c r="Z152" s="687"/>
      <c r="AA152" s="687"/>
      <c r="AB152" s="687"/>
      <c r="AC152" s="687"/>
      <c r="AD152" s="687">
        <v>100000000</v>
      </c>
      <c r="AE152" s="687">
        <v>100000000</v>
      </c>
      <c r="AF152" s="687">
        <v>100000000</v>
      </c>
      <c r="AG152" s="687">
        <v>100000000</v>
      </c>
      <c r="AH152" s="687"/>
      <c r="AI152" s="687"/>
      <c r="AJ152" s="687"/>
      <c r="AK152" s="687"/>
      <c r="AL152" s="687"/>
      <c r="AM152" s="687"/>
      <c r="AN152" s="687"/>
      <c r="AO152" s="687"/>
      <c r="AP152" s="687"/>
      <c r="AQ152" s="687"/>
      <c r="AR152" s="687"/>
      <c r="AS152" s="687"/>
      <c r="AT152" s="687"/>
      <c r="AU152" s="687"/>
      <c r="AV152" s="687"/>
      <c r="AW152" s="687"/>
      <c r="AX152" s="687"/>
      <c r="AY152" s="687"/>
      <c r="AZ152" s="687"/>
      <c r="BA152" s="687"/>
      <c r="BB152" s="687"/>
      <c r="BC152" s="687"/>
      <c r="BD152" s="687"/>
      <c r="BE152" s="687"/>
      <c r="BF152" s="687"/>
      <c r="BG152" s="687"/>
      <c r="BH152" s="687"/>
      <c r="BI152" s="687"/>
      <c r="BJ152" s="687"/>
      <c r="BK152" s="687"/>
      <c r="BL152" s="687"/>
      <c r="BM152" s="687"/>
      <c r="BN152" s="687"/>
      <c r="BO152" s="687"/>
      <c r="BP152" s="687"/>
      <c r="BQ152" s="687"/>
      <c r="BR152" s="687">
        <v>186558000</v>
      </c>
      <c r="BS152" s="687">
        <v>186558000</v>
      </c>
      <c r="BT152" s="687">
        <v>186558000</v>
      </c>
      <c r="BU152" s="687">
        <v>186558000</v>
      </c>
      <c r="BV152" s="687"/>
      <c r="BW152" s="687"/>
      <c r="BX152" s="687"/>
      <c r="BY152" s="687"/>
      <c r="BZ152" s="687"/>
      <c r="CA152" s="687"/>
      <c r="CB152" s="687"/>
      <c r="CC152" s="687"/>
      <c r="CD152" s="1192">
        <f t="shared" si="256"/>
        <v>355858000</v>
      </c>
      <c r="CE152" s="1192">
        <f t="shared" si="243"/>
        <v>355856965.28999996</v>
      </c>
      <c r="CF152" s="1192">
        <f>+CE152</f>
        <v>355856965.28999996</v>
      </c>
      <c r="CG152" s="1192">
        <v>355856965.28999996</v>
      </c>
      <c r="CH152" s="1190"/>
      <c r="CI152" s="758">
        <f t="shared" si="246"/>
        <v>0</v>
      </c>
    </row>
    <row r="153" spans="1:87" ht="39.75" thickTop="1" thickBot="1" x14ac:dyDescent="0.3">
      <c r="A153" s="444"/>
      <c r="B153" s="444"/>
      <c r="C153" s="446"/>
      <c r="D153" s="446"/>
      <c r="E153" s="445"/>
      <c r="F153" s="445"/>
      <c r="G153" s="444"/>
      <c r="H153" s="686" t="s">
        <v>2493</v>
      </c>
      <c r="I153" s="1046">
        <v>263442000</v>
      </c>
      <c r="J153" s="687"/>
      <c r="K153" s="687"/>
      <c r="L153" s="687"/>
      <c r="M153" s="687"/>
      <c r="N153" s="687"/>
      <c r="O153" s="687"/>
      <c r="P153" s="687"/>
      <c r="Q153" s="687"/>
      <c r="R153" s="687"/>
      <c r="S153" s="687"/>
      <c r="T153" s="687"/>
      <c r="U153" s="687"/>
      <c r="V153" s="687"/>
      <c r="W153" s="687"/>
      <c r="X153" s="687"/>
      <c r="Y153" s="687"/>
      <c r="Z153" s="687"/>
      <c r="AA153" s="687"/>
      <c r="AB153" s="687"/>
      <c r="AC153" s="687"/>
      <c r="AD153" s="687"/>
      <c r="AE153" s="687"/>
      <c r="AF153" s="687"/>
      <c r="AG153" s="687"/>
      <c r="AH153" s="687"/>
      <c r="AI153" s="687"/>
      <c r="AJ153" s="687"/>
      <c r="AK153" s="687"/>
      <c r="AL153" s="687">
        <v>900000</v>
      </c>
      <c r="AM153" s="687">
        <v>900000</v>
      </c>
      <c r="AN153" s="687">
        <v>900000</v>
      </c>
      <c r="AO153" s="687">
        <v>900000</v>
      </c>
      <c r="AP153" s="687"/>
      <c r="AQ153" s="687"/>
      <c r="AR153" s="687"/>
      <c r="AS153" s="687"/>
      <c r="AT153" s="687"/>
      <c r="AU153" s="687"/>
      <c r="AV153" s="687"/>
      <c r="AW153" s="687"/>
      <c r="AX153" s="687">
        <v>900000</v>
      </c>
      <c r="AY153" s="687">
        <v>900000</v>
      </c>
      <c r="AZ153" s="687">
        <v>900000</v>
      </c>
      <c r="BA153" s="687">
        <v>900000</v>
      </c>
      <c r="BB153" s="687">
        <v>1800000</v>
      </c>
      <c r="BC153" s="687">
        <v>1800000</v>
      </c>
      <c r="BD153" s="687">
        <v>1800000</v>
      </c>
      <c r="BE153" s="687">
        <v>1800000</v>
      </c>
      <c r="BF153" s="687"/>
      <c r="BG153" s="687"/>
      <c r="BH153" s="687"/>
      <c r="BI153" s="687"/>
      <c r="BJ153" s="687"/>
      <c r="BK153" s="687"/>
      <c r="BL153" s="687"/>
      <c r="BM153" s="687"/>
      <c r="BN153" s="687"/>
      <c r="BO153" s="687"/>
      <c r="BP153" s="687"/>
      <c r="BQ153" s="687"/>
      <c r="BR153" s="687">
        <v>259842000</v>
      </c>
      <c r="BS153" s="687">
        <v>259842000</v>
      </c>
      <c r="BT153" s="687">
        <v>259842000</v>
      </c>
      <c r="BU153" s="687">
        <v>259842000</v>
      </c>
      <c r="BV153" s="687"/>
      <c r="BW153" s="687"/>
      <c r="BX153" s="687"/>
      <c r="BY153" s="687"/>
      <c r="BZ153" s="687"/>
      <c r="CA153" s="687"/>
      <c r="CB153" s="687"/>
      <c r="CC153" s="687"/>
      <c r="CD153" s="1192">
        <f t="shared" si="256"/>
        <v>263442000</v>
      </c>
      <c r="CE153" s="1192">
        <f t="shared" si="243"/>
        <v>263442000</v>
      </c>
      <c r="CF153" s="1192">
        <f>+CE153</f>
        <v>263442000</v>
      </c>
      <c r="CG153" s="1192">
        <v>263442000</v>
      </c>
      <c r="CH153" s="439"/>
      <c r="CI153" s="758">
        <f t="shared" si="246"/>
        <v>0</v>
      </c>
    </row>
    <row r="154" spans="1:87" ht="39.75" thickTop="1" thickBot="1" x14ac:dyDescent="0.3">
      <c r="A154" s="444"/>
      <c r="B154" s="444"/>
      <c r="C154" s="446"/>
      <c r="D154" s="446"/>
      <c r="E154" s="445"/>
      <c r="F154" s="445"/>
      <c r="G154" s="444"/>
      <c r="H154" s="686" t="s">
        <v>2494</v>
      </c>
      <c r="I154" s="1046">
        <v>600000000</v>
      </c>
      <c r="J154" s="687"/>
      <c r="K154" s="687"/>
      <c r="L154" s="687"/>
      <c r="M154" s="687"/>
      <c r="N154" s="687"/>
      <c r="O154" s="687"/>
      <c r="P154" s="687"/>
      <c r="Q154" s="687"/>
      <c r="R154" s="687"/>
      <c r="S154" s="687"/>
      <c r="T154" s="687"/>
      <c r="U154" s="687"/>
      <c r="V154" s="687"/>
      <c r="W154" s="687"/>
      <c r="X154" s="687"/>
      <c r="Y154" s="687"/>
      <c r="Z154" s="687"/>
      <c r="AA154" s="687"/>
      <c r="AB154" s="687"/>
      <c r="AC154" s="687"/>
      <c r="AD154" s="687"/>
      <c r="AE154" s="687"/>
      <c r="AF154" s="687"/>
      <c r="AG154" s="687"/>
      <c r="AH154" s="687"/>
      <c r="AI154" s="687"/>
      <c r="AJ154" s="687"/>
      <c r="AK154" s="687"/>
      <c r="AL154" s="687"/>
      <c r="AM154" s="687"/>
      <c r="AN154" s="687"/>
      <c r="AO154" s="687"/>
      <c r="AP154" s="687"/>
      <c r="AQ154" s="687"/>
      <c r="AR154" s="687"/>
      <c r="AS154" s="687"/>
      <c r="AT154" s="687"/>
      <c r="AU154" s="687"/>
      <c r="AV154" s="687"/>
      <c r="AW154" s="687"/>
      <c r="AX154" s="687"/>
      <c r="AY154" s="687"/>
      <c r="AZ154" s="687"/>
      <c r="BA154" s="687"/>
      <c r="BB154" s="687"/>
      <c r="BC154" s="687"/>
      <c r="BD154" s="687"/>
      <c r="BE154" s="687"/>
      <c r="BF154" s="687"/>
      <c r="BG154" s="687"/>
      <c r="BH154" s="687"/>
      <c r="BI154" s="687"/>
      <c r="BJ154" s="687"/>
      <c r="BK154" s="687"/>
      <c r="BL154" s="687"/>
      <c r="BM154" s="687"/>
      <c r="BN154" s="687"/>
      <c r="BO154" s="687"/>
      <c r="BP154" s="687"/>
      <c r="BQ154" s="687"/>
      <c r="BR154" s="687">
        <v>600000000</v>
      </c>
      <c r="BS154" s="687">
        <v>600000000</v>
      </c>
      <c r="BT154" s="687">
        <v>600000000</v>
      </c>
      <c r="BU154" s="687">
        <v>544837483</v>
      </c>
      <c r="BV154" s="687"/>
      <c r="BW154" s="687"/>
      <c r="BX154" s="687"/>
      <c r="BY154" s="687"/>
      <c r="BZ154" s="687"/>
      <c r="CA154" s="687"/>
      <c r="CB154" s="687"/>
      <c r="CC154" s="687"/>
      <c r="CD154" s="1192">
        <f t="shared" si="256"/>
        <v>600000000</v>
      </c>
      <c r="CE154" s="1192">
        <f t="shared" si="243"/>
        <v>600000000</v>
      </c>
      <c r="CF154" s="1192">
        <f>+CE154</f>
        <v>600000000</v>
      </c>
      <c r="CG154" s="1192">
        <v>544837483</v>
      </c>
      <c r="CH154" s="439"/>
      <c r="CI154" s="758">
        <f t="shared" si="246"/>
        <v>0</v>
      </c>
    </row>
    <row r="155" spans="1:87" ht="39.75" thickTop="1" thickBot="1" x14ac:dyDescent="0.3">
      <c r="A155" s="444"/>
      <c r="B155" s="444"/>
      <c r="C155" s="446"/>
      <c r="D155" s="446"/>
      <c r="E155" s="445"/>
      <c r="F155" s="445"/>
      <c r="G155" s="444"/>
      <c r="H155" s="686" t="s">
        <v>2495</v>
      </c>
      <c r="I155" s="1046">
        <v>100000000</v>
      </c>
      <c r="J155" s="687"/>
      <c r="K155" s="687"/>
      <c r="L155" s="687"/>
      <c r="M155" s="687"/>
      <c r="N155" s="687"/>
      <c r="O155" s="687"/>
      <c r="P155" s="687"/>
      <c r="Q155" s="687"/>
      <c r="R155" s="687"/>
      <c r="S155" s="687"/>
      <c r="T155" s="687"/>
      <c r="U155" s="687"/>
      <c r="V155" s="687"/>
      <c r="W155" s="687"/>
      <c r="X155" s="687"/>
      <c r="Y155" s="687"/>
      <c r="Z155" s="687"/>
      <c r="AA155" s="687"/>
      <c r="AB155" s="687"/>
      <c r="AC155" s="687"/>
      <c r="AD155" s="687"/>
      <c r="AE155" s="687"/>
      <c r="AF155" s="687"/>
      <c r="AG155" s="687"/>
      <c r="AH155" s="687"/>
      <c r="AI155" s="687"/>
      <c r="AJ155" s="687"/>
      <c r="AK155" s="687"/>
      <c r="AL155" s="687"/>
      <c r="AM155" s="687"/>
      <c r="AN155" s="687"/>
      <c r="AO155" s="687"/>
      <c r="AP155" s="687"/>
      <c r="AQ155" s="687"/>
      <c r="AR155" s="687"/>
      <c r="AS155" s="687"/>
      <c r="AT155" s="687"/>
      <c r="AU155" s="687"/>
      <c r="AV155" s="687"/>
      <c r="AW155" s="687"/>
      <c r="AX155" s="687"/>
      <c r="AY155" s="687"/>
      <c r="AZ155" s="687"/>
      <c r="BA155" s="687"/>
      <c r="BB155" s="687"/>
      <c r="BC155" s="687"/>
      <c r="BD155" s="687"/>
      <c r="BE155" s="687"/>
      <c r="BF155" s="687"/>
      <c r="BG155" s="687"/>
      <c r="BH155" s="687"/>
      <c r="BI155" s="687"/>
      <c r="BJ155" s="687"/>
      <c r="BK155" s="687"/>
      <c r="BL155" s="687"/>
      <c r="BM155" s="687"/>
      <c r="BN155" s="687"/>
      <c r="BO155" s="687"/>
      <c r="BP155" s="687"/>
      <c r="BQ155" s="687"/>
      <c r="BR155" s="687">
        <v>100000000</v>
      </c>
      <c r="BS155" s="687">
        <v>100000000</v>
      </c>
      <c r="BT155" s="687">
        <v>100000000</v>
      </c>
      <c r="BU155" s="687">
        <v>100000000</v>
      </c>
      <c r="BV155" s="687"/>
      <c r="BW155" s="687"/>
      <c r="BX155" s="687"/>
      <c r="BY155" s="687"/>
      <c r="BZ155" s="687"/>
      <c r="CA155" s="687"/>
      <c r="CB155" s="687"/>
      <c r="CC155" s="687"/>
      <c r="CD155" s="1192">
        <f t="shared" si="256"/>
        <v>100000000</v>
      </c>
      <c r="CE155" s="1192">
        <f t="shared" si="243"/>
        <v>100000000</v>
      </c>
      <c r="CF155" s="1192">
        <f>+CE155</f>
        <v>100000000</v>
      </c>
      <c r="CG155" s="1192">
        <v>100000000</v>
      </c>
      <c r="CH155" s="439"/>
      <c r="CI155" s="758">
        <f t="shared" si="246"/>
        <v>0</v>
      </c>
    </row>
    <row r="156" spans="1:87" s="1202" customFormat="1" ht="16.5" thickTop="1" thickBot="1" x14ac:dyDescent="0.3">
      <c r="H156" s="1203" t="s">
        <v>2626</v>
      </c>
      <c r="I156" s="1204"/>
      <c r="J156" s="1204">
        <f>+'Anexo 5.1. INGRESOS REV MESA'!R13</f>
        <v>45220000000</v>
      </c>
      <c r="M156" s="1204">
        <v>41970977649</v>
      </c>
      <c r="N156" s="1204">
        <f>+'Anexo 5.1. INGRESOS REV MESA'!R17</f>
        <v>1564200000</v>
      </c>
      <c r="R156" s="1204">
        <f>+'Anexo 5.1. INGRESOS REV MESA'!R30</f>
        <v>2597000000</v>
      </c>
      <c r="V156" s="1204">
        <f>+'Anexo 5.1. INGRESOS REV MESA'!R39</f>
        <v>69300000</v>
      </c>
      <c r="W156" s="1204"/>
      <c r="X156" s="1204"/>
      <c r="Y156" s="1204"/>
      <c r="Z156" s="1204">
        <f>+'Anexo 5.1. INGRESOS REV MESA'!R43</f>
        <v>298800000</v>
      </c>
      <c r="AA156" s="1204"/>
      <c r="AB156" s="1204"/>
      <c r="AC156" s="1204"/>
      <c r="AD156" s="1204">
        <f>+'Anexo 5.1. INGRESOS REV MESA'!R51</f>
        <v>270000000</v>
      </c>
      <c r="AE156" s="1204"/>
      <c r="AF156" s="1204"/>
      <c r="AG156" s="1204"/>
      <c r="AH156" s="1204">
        <f>+'Anexo 5.1. INGRESOS REV MESA'!R55</f>
        <v>1080000000</v>
      </c>
      <c r="AI156" s="1204"/>
      <c r="AJ156" s="1204"/>
      <c r="AK156" s="1204">
        <v>0</v>
      </c>
      <c r="AL156" s="1204">
        <f>+'Anexo 5.1. INGRESOS REV MESA'!R59</f>
        <v>900000</v>
      </c>
      <c r="AM156" s="1204"/>
      <c r="AN156" s="1204"/>
      <c r="AO156" s="1204"/>
      <c r="AP156" s="1204">
        <f>+'Anexo 5.1. INGRESOS REV MESA'!R63</f>
        <v>900000</v>
      </c>
      <c r="AQ156" s="1204"/>
      <c r="AR156" s="1204"/>
      <c r="AS156" s="1204"/>
      <c r="AT156" s="1204">
        <f>+'Anexo 5.1. INGRESOS REV MESA'!R67</f>
        <v>1700000000</v>
      </c>
      <c r="AX156" s="1204">
        <f>+'Anexo 5.1. INGRESOS REV MESA'!R75</f>
        <v>900000</v>
      </c>
      <c r="AY156" s="1204"/>
      <c r="AZ156" s="1204"/>
      <c r="BA156" s="1204"/>
      <c r="BB156" s="1204">
        <f>+'Anexo 5.1. INGRESOS REV MESA'!R97</f>
        <v>1800000</v>
      </c>
      <c r="BC156" s="1204"/>
      <c r="BD156" s="1204"/>
      <c r="BE156" s="1204"/>
      <c r="BF156" s="1204">
        <f>+'Anexo 5.1. INGRESOS REV MESA'!R310</f>
        <v>1068300000</v>
      </c>
      <c r="BG156" s="1204"/>
      <c r="BH156" s="1204"/>
      <c r="BI156" s="1204">
        <v>0</v>
      </c>
      <c r="BJ156" s="1204">
        <f>+'Anexo 5.1. INGRESOS REV MESA'!R394</f>
        <v>452665000</v>
      </c>
      <c r="BK156" s="1204"/>
      <c r="BL156" s="1204"/>
      <c r="BM156" s="1204"/>
      <c r="BN156" s="1204">
        <f>+'Anexo 5.1. INGRESOS REV MESA'!R519</f>
        <v>7000000000</v>
      </c>
      <c r="BR156" s="1204">
        <f>+'Anexo 5.1. INGRESOS REV MESA'!R405</f>
        <v>24427301985.439999</v>
      </c>
      <c r="BU156" s="1204">
        <v>0</v>
      </c>
      <c r="BV156" s="1204">
        <f>+'Anexo 5.1. INGRESOS REV MESA'!R397</f>
        <v>3898816425.5200071</v>
      </c>
      <c r="BZ156" s="1204">
        <f>+'Anexo 5.1. INGRESOS REV MESA'!R136</f>
        <v>154800000</v>
      </c>
      <c r="CD156" s="1205">
        <f>+J156+N156+R156+V156+Z156+AD156+AH156+AL156+AP156+AT156+AX156+BB156+BF156+BJ156+BN156+BR156+BV156+BZ156</f>
        <v>89805683410.960007</v>
      </c>
      <c r="CE156" s="1205">
        <v>33783042701.119999</v>
      </c>
      <c r="CF156" s="1205">
        <v>1914164841.03</v>
      </c>
      <c r="CG156" s="1205">
        <v>1909538654.21</v>
      </c>
    </row>
    <row r="157" spans="1:87" s="1202" customFormat="1" ht="15.75" thickTop="1" x14ac:dyDescent="0.25">
      <c r="H157" s="1203" t="s">
        <v>2644</v>
      </c>
      <c r="I157" s="1204">
        <f t="shared" ref="I157:BS157" si="257">+I3</f>
        <v>89805683410.959991</v>
      </c>
      <c r="J157" s="1204">
        <f t="shared" si="257"/>
        <v>45219999999.959991</v>
      </c>
      <c r="K157" s="1204">
        <f t="shared" si="257"/>
        <v>44922438631.900009</v>
      </c>
      <c r="L157" s="1204">
        <f t="shared" si="257"/>
        <v>10198989780.51</v>
      </c>
      <c r="M157" s="1204">
        <f t="shared" si="257"/>
        <v>8664166745.4799995</v>
      </c>
      <c r="N157" s="1204">
        <f t="shared" si="257"/>
        <v>1564200000</v>
      </c>
      <c r="O157" s="1204">
        <f t="shared" si="257"/>
        <v>1564200000</v>
      </c>
      <c r="P157" s="1204">
        <f t="shared" si="257"/>
        <v>1564200000</v>
      </c>
      <c r="Q157" s="1204">
        <f t="shared" si="257"/>
        <v>1564200000</v>
      </c>
      <c r="R157" s="1204">
        <f t="shared" si="257"/>
        <v>2597000000</v>
      </c>
      <c r="S157" s="1204">
        <f t="shared" si="257"/>
        <v>2597000000</v>
      </c>
      <c r="T157" s="1204">
        <f t="shared" si="257"/>
        <v>1602503271.75</v>
      </c>
      <c r="U157" s="1204">
        <f t="shared" si="257"/>
        <v>1404503271.75</v>
      </c>
      <c r="V157" s="1204">
        <f t="shared" si="257"/>
        <v>69300000</v>
      </c>
      <c r="W157" s="1204">
        <f t="shared" si="257"/>
        <v>69298965.289999962</v>
      </c>
      <c r="X157" s="1204">
        <f t="shared" si="257"/>
        <v>69298965.289999962</v>
      </c>
      <c r="Y157" s="1204">
        <f t="shared" si="257"/>
        <v>69298965.289999962</v>
      </c>
      <c r="Z157" s="1204">
        <f t="shared" si="257"/>
        <v>298800000</v>
      </c>
      <c r="AA157" s="1204">
        <f t="shared" si="257"/>
        <v>298800000</v>
      </c>
      <c r="AB157" s="1204">
        <f t="shared" si="257"/>
        <v>298800000</v>
      </c>
      <c r="AC157" s="1204">
        <f t="shared" si="257"/>
        <v>298800000</v>
      </c>
      <c r="AD157" s="1204">
        <f t="shared" si="257"/>
        <v>270000000</v>
      </c>
      <c r="AE157" s="1204">
        <f t="shared" si="257"/>
        <v>270000000</v>
      </c>
      <c r="AF157" s="1204">
        <f t="shared" si="257"/>
        <v>170000000</v>
      </c>
      <c r="AG157" s="1204">
        <f t="shared" si="257"/>
        <v>170000000</v>
      </c>
      <c r="AH157" s="1204">
        <f t="shared" si="257"/>
        <v>1080000000</v>
      </c>
      <c r="AI157" s="1204">
        <f t="shared" si="257"/>
        <v>1080000000</v>
      </c>
      <c r="AJ157" s="1204">
        <f t="shared" si="257"/>
        <v>1080000000</v>
      </c>
      <c r="AK157" s="1204">
        <f t="shared" si="257"/>
        <v>1080000000</v>
      </c>
      <c r="AL157" s="1204">
        <f t="shared" si="257"/>
        <v>900000</v>
      </c>
      <c r="AM157" s="1204">
        <f t="shared" si="257"/>
        <v>900000</v>
      </c>
      <c r="AN157" s="1204">
        <f t="shared" si="257"/>
        <v>900000</v>
      </c>
      <c r="AO157" s="1204">
        <f t="shared" si="257"/>
        <v>900000</v>
      </c>
      <c r="AP157" s="1204">
        <f t="shared" si="257"/>
        <v>900000</v>
      </c>
      <c r="AQ157" s="1204">
        <f t="shared" si="257"/>
        <v>900000</v>
      </c>
      <c r="AR157" s="1204">
        <f t="shared" si="257"/>
        <v>900000</v>
      </c>
      <c r="AS157" s="1204">
        <f t="shared" si="257"/>
        <v>0</v>
      </c>
      <c r="AT157" s="1204">
        <f t="shared" si="257"/>
        <v>1700000000</v>
      </c>
      <c r="AU157" s="1204">
        <f t="shared" si="257"/>
        <v>1700000000</v>
      </c>
      <c r="AV157" s="1204">
        <f t="shared" si="257"/>
        <v>1700000000</v>
      </c>
      <c r="AW157" s="1204">
        <f t="shared" si="257"/>
        <v>1700000000</v>
      </c>
      <c r="AX157" s="1204">
        <f t="shared" si="257"/>
        <v>900000</v>
      </c>
      <c r="AY157" s="1204">
        <f t="shared" si="257"/>
        <v>900000</v>
      </c>
      <c r="AZ157" s="1204">
        <f t="shared" si="257"/>
        <v>900000</v>
      </c>
      <c r="BA157" s="1204">
        <f t="shared" si="257"/>
        <v>900000</v>
      </c>
      <c r="BB157" s="1204">
        <f t="shared" si="257"/>
        <v>1800000</v>
      </c>
      <c r="BC157" s="1204">
        <f t="shared" si="257"/>
        <v>1800000</v>
      </c>
      <c r="BD157" s="1204">
        <f t="shared" si="257"/>
        <v>1800000</v>
      </c>
      <c r="BE157" s="1204">
        <f t="shared" si="257"/>
        <v>1800000</v>
      </c>
      <c r="BF157" s="1204">
        <f t="shared" si="257"/>
        <v>1068300000.04</v>
      </c>
      <c r="BG157" s="1204">
        <f t="shared" si="257"/>
        <v>886541999.48000002</v>
      </c>
      <c r="BH157" s="1204">
        <f t="shared" si="257"/>
        <v>886541999.48000002</v>
      </c>
      <c r="BI157" s="1204">
        <f t="shared" si="257"/>
        <v>886541999.48000002</v>
      </c>
      <c r="BJ157" s="1204">
        <f t="shared" si="257"/>
        <v>452665000</v>
      </c>
      <c r="BK157" s="1204">
        <f t="shared" si="257"/>
        <v>452665000</v>
      </c>
      <c r="BL157" s="1204">
        <f t="shared" si="257"/>
        <v>133122000</v>
      </c>
      <c r="BM157" s="1204">
        <f t="shared" si="257"/>
        <v>133122000</v>
      </c>
      <c r="BN157" s="1204">
        <f t="shared" si="257"/>
        <v>7000000000</v>
      </c>
      <c r="BO157" s="1204">
        <f t="shared" si="257"/>
        <v>7000000000</v>
      </c>
      <c r="BP157" s="1204">
        <f t="shared" si="257"/>
        <v>7000000000</v>
      </c>
      <c r="BQ157" s="1204">
        <f t="shared" si="257"/>
        <v>7000000000</v>
      </c>
      <c r="BR157" s="1204">
        <f t="shared" si="257"/>
        <v>24427301985.439999</v>
      </c>
      <c r="BS157" s="1204">
        <f t="shared" si="257"/>
        <v>24422165769.439999</v>
      </c>
      <c r="BT157" s="1204">
        <f t="shared" ref="BT157:CG157" si="258">+BT3</f>
        <v>8392115489.8899994</v>
      </c>
      <c r="BU157" s="1204">
        <f t="shared" si="258"/>
        <v>7947852537.8899994</v>
      </c>
      <c r="BV157" s="1204">
        <f t="shared" si="258"/>
        <v>3898816425.52</v>
      </c>
      <c r="BW157" s="1204">
        <f t="shared" si="258"/>
        <v>3352541450.3799996</v>
      </c>
      <c r="BX157" s="1204">
        <f t="shared" si="258"/>
        <v>2843102818.3399997</v>
      </c>
      <c r="BY157" s="1204">
        <f t="shared" si="258"/>
        <v>2672182148.6900001</v>
      </c>
      <c r="BZ157" s="1204">
        <f t="shared" si="258"/>
        <v>154800000</v>
      </c>
      <c r="CA157" s="1204">
        <f t="shared" si="258"/>
        <v>150032151.75999999</v>
      </c>
      <c r="CB157" s="1204">
        <f t="shared" si="258"/>
        <v>54800000</v>
      </c>
      <c r="CC157" s="1204">
        <f t="shared" si="258"/>
        <v>54800000</v>
      </c>
      <c r="CD157" s="1204">
        <f t="shared" si="258"/>
        <v>89805683410.959991</v>
      </c>
      <c r="CE157" s="1204">
        <f t="shared" si="258"/>
        <v>88951941968.250015</v>
      </c>
      <c r="CF157" s="1204">
        <f t="shared" si="258"/>
        <v>36304560326</v>
      </c>
      <c r="CG157" s="1204">
        <f t="shared" si="258"/>
        <v>33831469669</v>
      </c>
    </row>
    <row r="158" spans="1:87" x14ac:dyDescent="0.25">
      <c r="H158" s="749" t="s">
        <v>2627</v>
      </c>
      <c r="I158" s="1051">
        <f t="shared" ref="I158:BS158" si="259">+I156-I157</f>
        <v>-89805683410.959991</v>
      </c>
      <c r="J158" s="1208">
        <f t="shared" si="259"/>
        <v>4.0008544921875E-2</v>
      </c>
      <c r="K158" s="1051">
        <f t="shared" si="259"/>
        <v>-44922438631.900009</v>
      </c>
      <c r="L158" s="1051">
        <f t="shared" si="259"/>
        <v>-10198989780.51</v>
      </c>
      <c r="M158" s="1051">
        <f t="shared" si="259"/>
        <v>33306810903.52</v>
      </c>
      <c r="N158" s="1051">
        <f t="shared" si="259"/>
        <v>0</v>
      </c>
      <c r="O158" s="1051">
        <f t="shared" si="259"/>
        <v>-1564200000</v>
      </c>
      <c r="P158" s="1051">
        <f t="shared" si="259"/>
        <v>-1564200000</v>
      </c>
      <c r="Q158" s="1051">
        <f t="shared" si="259"/>
        <v>-1564200000</v>
      </c>
      <c r="R158" s="1051">
        <f t="shared" si="259"/>
        <v>0</v>
      </c>
      <c r="S158" s="1051">
        <f t="shared" si="259"/>
        <v>-2597000000</v>
      </c>
      <c r="T158" s="1051">
        <f t="shared" si="259"/>
        <v>-1602503271.75</v>
      </c>
      <c r="U158" s="1051">
        <f t="shared" si="259"/>
        <v>-1404503271.75</v>
      </c>
      <c r="V158" s="1051">
        <f t="shared" si="259"/>
        <v>0</v>
      </c>
      <c r="W158" s="1051">
        <f t="shared" si="259"/>
        <v>-69298965.289999962</v>
      </c>
      <c r="X158" s="1051">
        <f t="shared" si="259"/>
        <v>-69298965.289999962</v>
      </c>
      <c r="Y158" s="1051">
        <f t="shared" si="259"/>
        <v>-69298965.289999962</v>
      </c>
      <c r="Z158" s="1051">
        <f t="shared" si="259"/>
        <v>0</v>
      </c>
      <c r="AA158" s="1051">
        <f t="shared" si="259"/>
        <v>-298800000</v>
      </c>
      <c r="AB158" s="1051">
        <f t="shared" si="259"/>
        <v>-298800000</v>
      </c>
      <c r="AC158" s="1051">
        <f t="shared" si="259"/>
        <v>-298800000</v>
      </c>
      <c r="AD158" s="1051">
        <f t="shared" si="259"/>
        <v>0</v>
      </c>
      <c r="AE158" s="1051">
        <f t="shared" si="259"/>
        <v>-270000000</v>
      </c>
      <c r="AF158" s="1051">
        <f t="shared" si="259"/>
        <v>-170000000</v>
      </c>
      <c r="AG158" s="1051">
        <f t="shared" si="259"/>
        <v>-170000000</v>
      </c>
      <c r="AH158" s="1051">
        <f t="shared" si="259"/>
        <v>0</v>
      </c>
      <c r="AI158" s="1051">
        <f t="shared" si="259"/>
        <v>-1080000000</v>
      </c>
      <c r="AJ158" s="1051">
        <f t="shared" si="259"/>
        <v>-1080000000</v>
      </c>
      <c r="AK158" s="1051">
        <f t="shared" si="259"/>
        <v>-1080000000</v>
      </c>
      <c r="AL158" s="1051">
        <f t="shared" si="259"/>
        <v>0</v>
      </c>
      <c r="AM158" s="1051">
        <f t="shared" si="259"/>
        <v>-900000</v>
      </c>
      <c r="AN158" s="1051">
        <f t="shared" si="259"/>
        <v>-900000</v>
      </c>
      <c r="AO158" s="1051">
        <f t="shared" si="259"/>
        <v>-900000</v>
      </c>
      <c r="AP158" s="1051">
        <f t="shared" si="259"/>
        <v>0</v>
      </c>
      <c r="AQ158" s="1051">
        <f t="shared" si="259"/>
        <v>-900000</v>
      </c>
      <c r="AR158" s="1051">
        <f t="shared" si="259"/>
        <v>-900000</v>
      </c>
      <c r="AS158" s="1051">
        <f t="shared" si="259"/>
        <v>0</v>
      </c>
      <c r="AT158" s="1051">
        <f t="shared" si="259"/>
        <v>0</v>
      </c>
      <c r="AU158" s="1051">
        <f t="shared" si="259"/>
        <v>-1700000000</v>
      </c>
      <c r="AV158" s="1051">
        <f t="shared" si="259"/>
        <v>-1700000000</v>
      </c>
      <c r="AW158" s="1051">
        <f t="shared" si="259"/>
        <v>-1700000000</v>
      </c>
      <c r="AX158" s="1051">
        <f t="shared" si="259"/>
        <v>0</v>
      </c>
      <c r="AY158" s="1051">
        <f t="shared" si="259"/>
        <v>-900000</v>
      </c>
      <c r="AZ158" s="1051">
        <f t="shared" si="259"/>
        <v>-900000</v>
      </c>
      <c r="BA158" s="1051">
        <f t="shared" si="259"/>
        <v>-900000</v>
      </c>
      <c r="BB158" s="1051">
        <f t="shared" si="259"/>
        <v>0</v>
      </c>
      <c r="BC158" s="1051">
        <f t="shared" si="259"/>
        <v>-1800000</v>
      </c>
      <c r="BD158" s="1051">
        <f t="shared" si="259"/>
        <v>-1800000</v>
      </c>
      <c r="BE158" s="1051">
        <f t="shared" si="259"/>
        <v>-1800000</v>
      </c>
      <c r="BF158" s="1051">
        <f t="shared" si="259"/>
        <v>-3.9999961853027344E-2</v>
      </c>
      <c r="BG158" s="1051">
        <f t="shared" si="259"/>
        <v>-886541999.48000002</v>
      </c>
      <c r="BH158" s="1051">
        <f t="shared" si="259"/>
        <v>-886541999.48000002</v>
      </c>
      <c r="BI158" s="1051">
        <f t="shared" si="259"/>
        <v>-886541999.48000002</v>
      </c>
      <c r="BJ158" s="1051">
        <f t="shared" si="259"/>
        <v>0</v>
      </c>
      <c r="BK158" s="1051">
        <f t="shared" si="259"/>
        <v>-452665000</v>
      </c>
      <c r="BL158" s="1051">
        <f t="shared" si="259"/>
        <v>-133122000</v>
      </c>
      <c r="BM158" s="1051">
        <f t="shared" si="259"/>
        <v>-133122000</v>
      </c>
      <c r="BN158" s="1051">
        <f t="shared" si="259"/>
        <v>0</v>
      </c>
      <c r="BO158" s="1051">
        <f t="shared" si="259"/>
        <v>-7000000000</v>
      </c>
      <c r="BP158" s="1051">
        <f t="shared" si="259"/>
        <v>-7000000000</v>
      </c>
      <c r="BQ158" s="1051">
        <f t="shared" si="259"/>
        <v>-7000000000</v>
      </c>
      <c r="BR158" s="1051">
        <f t="shared" si="259"/>
        <v>0</v>
      </c>
      <c r="BS158" s="1051">
        <f t="shared" si="259"/>
        <v>-24422165769.439999</v>
      </c>
      <c r="BT158" s="1051">
        <f t="shared" ref="BT158:CG158" si="260">+BT156-BT157</f>
        <v>-8392115489.8899994</v>
      </c>
      <c r="BU158" s="1051">
        <f t="shared" si="260"/>
        <v>-7947852537.8899994</v>
      </c>
      <c r="BV158" s="1051">
        <f t="shared" si="260"/>
        <v>7.152557373046875E-6</v>
      </c>
      <c r="BW158" s="1051">
        <f t="shared" si="260"/>
        <v>-3352541450.3799996</v>
      </c>
      <c r="BX158" s="1051">
        <f t="shared" si="260"/>
        <v>-2843102818.3399997</v>
      </c>
      <c r="BY158" s="1051">
        <f t="shared" si="260"/>
        <v>-2672182148.6900001</v>
      </c>
      <c r="BZ158" s="1051">
        <f t="shared" si="260"/>
        <v>0</v>
      </c>
      <c r="CA158" s="1051">
        <f t="shared" si="260"/>
        <v>-150032151.75999999</v>
      </c>
      <c r="CB158" s="1051">
        <f t="shared" si="260"/>
        <v>-54800000</v>
      </c>
      <c r="CC158" s="1051">
        <f t="shared" si="260"/>
        <v>-54800000</v>
      </c>
      <c r="CD158" s="1051">
        <f t="shared" si="260"/>
        <v>0</v>
      </c>
      <c r="CE158" s="1051">
        <f t="shared" si="260"/>
        <v>-55168899267.13002</v>
      </c>
      <c r="CF158" s="1051">
        <f t="shared" si="260"/>
        <v>-34390395484.970001</v>
      </c>
      <c r="CG158" s="1051">
        <f t="shared" si="260"/>
        <v>-31921931014.790001</v>
      </c>
    </row>
    <row r="159" spans="1:87" x14ac:dyDescent="0.25">
      <c r="H159" s="1206"/>
      <c r="CE159" s="1052"/>
    </row>
  </sheetData>
  <autoFilter ref="A1:BZ65">
    <filterColumn colId="9" showButton="0"/>
    <filterColumn colId="10" showButton="0"/>
    <filterColumn colId="11" showButton="0"/>
    <filterColumn colId="13" showButton="0"/>
    <filterColumn colId="14" showButton="0"/>
    <filterColumn colId="15" showButton="0"/>
    <filterColumn colId="17" showButton="0"/>
    <filterColumn colId="18" showButton="0"/>
    <filterColumn colId="19" showButton="0"/>
    <filterColumn colId="73" showButton="0"/>
    <filterColumn colId="74" showButton="0"/>
    <filterColumn colId="75" showButton="0"/>
  </autoFilter>
  <mergeCells count="19">
    <mergeCell ref="CD1:CG1"/>
    <mergeCell ref="BV1:BY1"/>
    <mergeCell ref="AT1:AW1"/>
    <mergeCell ref="AX1:BA1"/>
    <mergeCell ref="BB1:BE1"/>
    <mergeCell ref="BJ1:BM1"/>
    <mergeCell ref="BF1:BI1"/>
    <mergeCell ref="BR1:BU1"/>
    <mergeCell ref="BN1:BQ1"/>
    <mergeCell ref="AD1:AG1"/>
    <mergeCell ref="AH1:AK1"/>
    <mergeCell ref="AL1:AO1"/>
    <mergeCell ref="AP1:AS1"/>
    <mergeCell ref="BZ1:CC1"/>
    <mergeCell ref="V1:Y1"/>
    <mergeCell ref="J1:M1"/>
    <mergeCell ref="N1:Q1"/>
    <mergeCell ref="R1:U1"/>
    <mergeCell ref="Z1:AC1"/>
  </mergeCells>
  <printOptions horizontalCentered="1" verticalCentered="1"/>
  <pageMargins left="0.78740157480314965" right="0.78740157480314965" top="0.98425196850393704" bottom="0.98425196850393704" header="0" footer="0"/>
  <pageSetup paperSize="9" scale="8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R32"/>
  <sheetViews>
    <sheetView showGridLines="0" zoomScale="96" zoomScaleNormal="96" workbookViewId="0">
      <pane ySplit="5" topLeftCell="A6" activePane="bottomLeft" state="frozen"/>
      <selection activeCell="D4" sqref="D4"/>
      <selection pane="bottomLeft" activeCell="D15" sqref="D15"/>
    </sheetView>
  </sheetViews>
  <sheetFormatPr baseColWidth="10" defaultColWidth="10.7109375" defaultRowHeight="15" x14ac:dyDescent="0.25"/>
  <cols>
    <col min="1" max="1" width="3.42578125" bestFit="1" customWidth="1"/>
    <col min="2" max="2" width="62.42578125" customWidth="1"/>
    <col min="3" max="4" width="17.7109375" bestFit="1" customWidth="1"/>
    <col min="5" max="6" width="6.140625" customWidth="1"/>
    <col min="7" max="7" width="3.42578125" customWidth="1"/>
    <col min="8" max="8" width="6.140625" hidden="1" customWidth="1"/>
    <col min="9" max="9" width="5.42578125" hidden="1" customWidth="1"/>
    <col min="10" max="10" width="7" hidden="1" customWidth="1"/>
    <col min="11" max="11" width="4.28515625" hidden="1" customWidth="1"/>
    <col min="12" max="12" width="15" customWidth="1"/>
    <col min="13" max="14" width="22.42578125" customWidth="1"/>
    <col min="15" max="15" width="1.85546875" customWidth="1"/>
  </cols>
  <sheetData>
    <row r="1" spans="1:18" s="387" customFormat="1" ht="130.5" customHeight="1" thickBot="1" x14ac:dyDescent="0.3">
      <c r="A1" s="1391"/>
      <c r="B1" s="1392"/>
      <c r="C1" s="1392"/>
      <c r="D1" s="1392"/>
      <c r="E1" s="1392"/>
      <c r="F1" s="1392"/>
      <c r="G1" s="1392"/>
      <c r="H1" s="1392"/>
      <c r="I1" s="1392"/>
      <c r="J1" s="1392"/>
      <c r="K1" s="1392"/>
      <c r="L1" s="1392"/>
      <c r="M1" s="1392"/>
      <c r="N1" s="1392"/>
      <c r="O1" s="1392"/>
      <c r="P1" s="1393"/>
      <c r="Q1"/>
      <c r="R1"/>
    </row>
    <row r="2" spans="1:18"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18"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18" s="388" customFormat="1" ht="30.75" customHeight="1" thickBot="1" x14ac:dyDescent="0.3">
      <c r="A4" s="1397" t="s">
        <v>62</v>
      </c>
      <c r="B4" s="1398"/>
      <c r="C4" s="405" t="str">
        <f>'Datos Generales'!C6</f>
        <v>2022-II</v>
      </c>
      <c r="D4" s="405"/>
      <c r="E4" s="405"/>
      <c r="F4" s="405"/>
      <c r="G4" s="405"/>
      <c r="H4" s="405"/>
      <c r="I4" s="405"/>
      <c r="J4" s="405"/>
      <c r="K4" s="405"/>
      <c r="L4" s="407"/>
      <c r="M4" s="407"/>
      <c r="N4" s="407"/>
      <c r="O4" s="407"/>
      <c r="P4" s="408"/>
      <c r="Q4"/>
      <c r="R4"/>
    </row>
    <row r="5" spans="1:18" ht="30" customHeight="1" x14ac:dyDescent="0.25">
      <c r="A5" s="363" t="s">
        <v>842</v>
      </c>
      <c r="B5" s="363" t="s">
        <v>843</v>
      </c>
      <c r="C5" s="364">
        <v>2020</v>
      </c>
      <c r="D5" s="551">
        <v>2021</v>
      </c>
      <c r="E5" s="551">
        <v>2022</v>
      </c>
      <c r="F5" s="551">
        <v>2023</v>
      </c>
      <c r="H5" s="361" t="s">
        <v>844</v>
      </c>
      <c r="I5" s="361" t="s">
        <v>845</v>
      </c>
      <c r="J5" s="361" t="s">
        <v>846</v>
      </c>
      <c r="L5" s="362" t="s">
        <v>847</v>
      </c>
      <c r="M5" s="362" t="s">
        <v>848</v>
      </c>
      <c r="N5" s="367" t="s">
        <v>846</v>
      </c>
      <c r="O5" s="370" t="s">
        <v>849</v>
      </c>
      <c r="P5" s="368"/>
    </row>
    <row r="6" spans="1:18" ht="45" customHeight="1" x14ac:dyDescent="0.25">
      <c r="A6" s="257" t="s">
        <v>850</v>
      </c>
      <c r="B6" s="258" t="s">
        <v>81</v>
      </c>
      <c r="C6" s="381">
        <v>0.44999999999999996</v>
      </c>
      <c r="D6" s="380" t="str">
        <f ca="1">+'1POMCAS'!D8</f>
        <v>N.A.</v>
      </c>
      <c r="E6" s="366"/>
      <c r="F6" s="366"/>
      <c r="H6" s="365">
        <f>'1POMCAS'!F11</f>
        <v>0</v>
      </c>
      <c r="I6" s="365">
        <f>+'1POMCAS'!E12</f>
        <v>0</v>
      </c>
      <c r="J6" s="365" t="str">
        <f>+'1POMCAS'!E13</f>
        <v>Meta del Pomca Arroyos que Vierten al Caribe Norte para ser elaborado en el año 2022, fue declarado en ordenación, mediante acuerdo 002 por la Comisión Conjunta -  http://www.crautonoma.gov.co/documentos/pomcas/Mar%20caribe/DECLARATORIA%20EN%20ORDENACION%20CUENCA%20CARIBE.pdf</v>
      </c>
      <c r="L6" s="382" t="str">
        <f t="shared" ref="L6:L32" si="0">IF(ISNUMBER(C6),"",H6)</f>
        <v/>
      </c>
      <c r="M6" s="382" t="str">
        <f t="shared" ref="M6:M32" si="1">IF(ISNUMBER(I6),"",I6)</f>
        <v/>
      </c>
      <c r="N6" s="383"/>
      <c r="O6" s="371" t="s">
        <v>849</v>
      </c>
      <c r="P6" s="369"/>
    </row>
    <row r="7" spans="1:18" ht="48" x14ac:dyDescent="0.25">
      <c r="A7" s="257" t="s">
        <v>851</v>
      </c>
      <c r="B7" s="258" t="s">
        <v>83</v>
      </c>
      <c r="C7" s="381" t="s">
        <v>2083</v>
      </c>
      <c r="D7" s="381" t="str">
        <f>+'2PORH'!D8</f>
        <v>SIN INFORMACION</v>
      </c>
      <c r="E7" s="366"/>
      <c r="F7" s="366"/>
      <c r="H7" s="365" t="str">
        <f>+'2PORH'!F11</f>
        <v xml:space="preserve">Acuerdo 004 del 29 de marzo de 2022 </v>
      </c>
      <c r="I7" s="365">
        <f>+'2PORH'!E12</f>
        <v>0</v>
      </c>
      <c r="J7" s="365" t="str">
        <f>+'2PORH'!E13</f>
        <v>Este indicador no tiene acciones , ni meta asociadas para el periodo 2020 - 2023</v>
      </c>
      <c r="L7" s="382" t="str">
        <f t="shared" si="0"/>
        <v xml:space="preserve">Acuerdo 004 del 29 de marzo de 2022 </v>
      </c>
      <c r="M7" s="382" t="str">
        <f t="shared" si="1"/>
        <v/>
      </c>
      <c r="N7" s="383" t="str">
        <f t="shared" ref="N7:N32" si="2">IF(ISNUMBER(J7),"",J7)</f>
        <v>Este indicador no tiene acciones , ni meta asociadas para el periodo 2020 - 2023</v>
      </c>
      <c r="O7" s="371" t="s">
        <v>849</v>
      </c>
      <c r="P7" s="369"/>
    </row>
    <row r="8" spans="1:18" ht="25.5" x14ac:dyDescent="0.25">
      <c r="A8" s="257" t="s">
        <v>852</v>
      </c>
      <c r="B8" s="258" t="s">
        <v>85</v>
      </c>
      <c r="C8" s="381" t="s">
        <v>2083</v>
      </c>
      <c r="D8" s="381">
        <f>+'3PSMV'!D8</f>
        <v>1</v>
      </c>
      <c r="E8" s="366"/>
      <c r="F8" s="366"/>
      <c r="H8" s="365">
        <f>+'3PSMV'!F11</f>
        <v>0</v>
      </c>
      <c r="I8" s="365">
        <f>+'3PSMV'!E12</f>
        <v>0</v>
      </c>
      <c r="J8" s="365">
        <f>+'3PSMV'!E13</f>
        <v>0</v>
      </c>
      <c r="L8" s="382">
        <f t="shared" si="0"/>
        <v>0</v>
      </c>
      <c r="M8" s="382" t="str">
        <f t="shared" si="1"/>
        <v/>
      </c>
      <c r="N8" s="383" t="str">
        <f t="shared" si="2"/>
        <v/>
      </c>
      <c r="O8" s="371" t="s">
        <v>849</v>
      </c>
      <c r="P8" s="369"/>
    </row>
    <row r="9" spans="1:18" x14ac:dyDescent="0.25">
      <c r="A9" s="257" t="s">
        <v>853</v>
      </c>
      <c r="B9" s="258" t="s">
        <v>87</v>
      </c>
      <c r="C9" s="381" t="s">
        <v>2083</v>
      </c>
      <c r="D9" s="381">
        <f>+'4UsoAguas'!D8</f>
        <v>0</v>
      </c>
      <c r="E9" s="366"/>
      <c r="F9" s="366"/>
      <c r="H9" s="365">
        <f>+'4UsoAguas'!F11</f>
        <v>0</v>
      </c>
      <c r="I9" s="365">
        <f>+'4UsoAguas'!E12</f>
        <v>0</v>
      </c>
      <c r="J9" s="365">
        <f>+'4UsoAguas'!E13</f>
        <v>0</v>
      </c>
      <c r="L9" s="382">
        <f t="shared" si="0"/>
        <v>0</v>
      </c>
      <c r="M9" s="382" t="str">
        <f t="shared" si="1"/>
        <v/>
      </c>
      <c r="N9" s="383" t="str">
        <f t="shared" si="2"/>
        <v/>
      </c>
      <c r="O9" s="371" t="s">
        <v>849</v>
      </c>
      <c r="P9" s="369"/>
    </row>
    <row r="10" spans="1:18" ht="25.5" x14ac:dyDescent="0.25">
      <c r="A10" s="257" t="s">
        <v>854</v>
      </c>
      <c r="B10" s="258" t="s">
        <v>89</v>
      </c>
      <c r="C10" s="381">
        <v>0</v>
      </c>
      <c r="D10" s="381">
        <f>+'5PUEAA'!D8</f>
        <v>1</v>
      </c>
      <c r="E10" s="366"/>
      <c r="F10" s="366"/>
      <c r="H10" s="365">
        <f>+'5PUEAA'!F11</f>
        <v>0</v>
      </c>
      <c r="I10" s="365">
        <f>+'5PUEAA'!E12</f>
        <v>0</v>
      </c>
      <c r="J10" s="365">
        <f>+'5PUEAA'!E13</f>
        <v>0</v>
      </c>
      <c r="L10" s="382" t="str">
        <f t="shared" si="0"/>
        <v/>
      </c>
      <c r="M10" s="382" t="str">
        <f t="shared" si="1"/>
        <v/>
      </c>
      <c r="N10" s="383" t="str">
        <f t="shared" si="2"/>
        <v/>
      </c>
      <c r="O10" s="371" t="s">
        <v>849</v>
      </c>
      <c r="P10" s="369"/>
    </row>
    <row r="11" spans="1:18" ht="38.25" x14ac:dyDescent="0.25">
      <c r="A11" s="257" t="s">
        <v>855</v>
      </c>
      <c r="B11" s="258" t="s">
        <v>91</v>
      </c>
      <c r="C11" s="381" t="e">
        <v>#VALUE!</v>
      </c>
      <c r="D11" s="381">
        <f>+'6POMCASejec'!D8</f>
        <v>1</v>
      </c>
      <c r="E11" s="366"/>
      <c r="F11" s="366"/>
      <c r="H11" s="365">
        <f>+'6POMCASejec'!F11</f>
        <v>0</v>
      </c>
      <c r="I11" s="365" t="str">
        <f>+'6POMCASejec'!E12</f>
        <v>Todos</v>
      </c>
      <c r="J11" s="365">
        <f>+'6POMCASejec'!E13</f>
        <v>0</v>
      </c>
      <c r="L11" s="382">
        <f t="shared" si="0"/>
        <v>0</v>
      </c>
      <c r="M11" s="382" t="str">
        <f t="shared" si="1"/>
        <v>Todos</v>
      </c>
      <c r="N11" s="383" t="str">
        <f t="shared" si="2"/>
        <v/>
      </c>
      <c r="O11" s="371" t="s">
        <v>849</v>
      </c>
      <c r="P11" s="369"/>
    </row>
    <row r="12" spans="1:18" ht="38.25" x14ac:dyDescent="0.25">
      <c r="A12" s="257" t="s">
        <v>856</v>
      </c>
      <c r="B12" s="258" t="s">
        <v>93</v>
      </c>
      <c r="C12" s="381" t="s">
        <v>2083</v>
      </c>
      <c r="D12" s="381">
        <f>+'7Clima'!D8</f>
        <v>1</v>
      </c>
      <c r="E12" s="366"/>
      <c r="F12" s="366"/>
      <c r="H12" s="365">
        <f>+'7Clima'!F11</f>
        <v>0</v>
      </c>
      <c r="I12" s="365">
        <f>+'7Clima'!E12</f>
        <v>0</v>
      </c>
      <c r="J12" s="365">
        <f>+'7Clima'!E13</f>
        <v>0</v>
      </c>
      <c r="L12" s="382">
        <f t="shared" si="0"/>
        <v>0</v>
      </c>
      <c r="M12" s="382" t="str">
        <f t="shared" si="1"/>
        <v/>
      </c>
      <c r="N12" s="383" t="str">
        <f t="shared" si="2"/>
        <v/>
      </c>
      <c r="O12" s="371" t="s">
        <v>849</v>
      </c>
      <c r="P12" s="369"/>
    </row>
    <row r="13" spans="1:18" x14ac:dyDescent="0.25">
      <c r="A13" s="257" t="s">
        <v>857</v>
      </c>
      <c r="B13" s="258" t="s">
        <v>95</v>
      </c>
      <c r="C13" s="381" t="s">
        <v>2083</v>
      </c>
      <c r="D13" s="381">
        <f>+'8Suelo'!D8</f>
        <v>1.2454090150250416</v>
      </c>
      <c r="E13" s="366"/>
      <c r="F13" s="366"/>
      <c r="H13" s="365">
        <f>+'8Suelo'!F11</f>
        <v>0</v>
      </c>
      <c r="I13" s="365">
        <f>+'8Suelo'!E12</f>
        <v>0</v>
      </c>
      <c r="J13" s="365">
        <f>+'8Suelo'!E13</f>
        <v>0</v>
      </c>
      <c r="L13" s="382">
        <f t="shared" si="0"/>
        <v>0</v>
      </c>
      <c r="M13" s="382" t="str">
        <f t="shared" si="1"/>
        <v/>
      </c>
      <c r="N13" s="383" t="str">
        <f t="shared" si="2"/>
        <v/>
      </c>
      <c r="O13" s="371" t="s">
        <v>849</v>
      </c>
      <c r="P13" s="369"/>
    </row>
    <row r="14" spans="1:18" ht="144" x14ac:dyDescent="0.25">
      <c r="A14" s="257" t="s">
        <v>858</v>
      </c>
      <c r="B14" s="258" t="s">
        <v>97</v>
      </c>
      <c r="C14" s="381" t="s">
        <v>2083</v>
      </c>
      <c r="D14" s="381" t="str">
        <f>+'9RUNAP'!D9</f>
        <v>N.A.</v>
      </c>
      <c r="E14" s="366"/>
      <c r="F14" s="366"/>
      <c r="H14" s="365">
        <f>+'9RUNAP'!F12</f>
        <v>0</v>
      </c>
      <c r="I14" s="365">
        <f>+'9RUNAP'!E13</f>
        <v>0</v>
      </c>
      <c r="J14" s="365" t="str">
        <f>+'9RUNAP'!E14</f>
        <v xml:space="preserve">La Corporacion ha participado, junto con la Cooperacion Internacional, en la declaratoria de areas protegidas privadas (Reservas Naturales de la Sociedad Civil - RNSC), en la jurisdiccion de la Entidad, sumando a la fecha 47 RNSC inscritas en el RUNAP, que suman aproximada de 2.680 Ha.  </v>
      </c>
      <c r="L14" s="382">
        <f t="shared" si="0"/>
        <v>0</v>
      </c>
      <c r="M14" s="382" t="str">
        <f t="shared" si="1"/>
        <v/>
      </c>
      <c r="N14" s="383" t="str">
        <f t="shared" si="2"/>
        <v xml:space="preserve">La Corporacion ha participado, junto con la Cooperacion Internacional, en la declaratoria de areas protegidas privadas (Reservas Naturales de la Sociedad Civil - RNSC), en la jurisdiccion de la Entidad, sumando a la fecha 47 RNSC inscritas en el RUNAP, que suman aproximada de 2.680 Ha.  </v>
      </c>
      <c r="O14" s="371" t="s">
        <v>849</v>
      </c>
      <c r="P14" s="369"/>
    </row>
    <row r="15" spans="1:18" ht="180" x14ac:dyDescent="0.25">
      <c r="A15" s="257" t="s">
        <v>859</v>
      </c>
      <c r="B15" s="258" t="s">
        <v>99</v>
      </c>
      <c r="C15" s="381" t="s">
        <v>1280</v>
      </c>
      <c r="D15" s="381" t="str">
        <f>'10Paramos'!D8</f>
        <v>NO APLICA</v>
      </c>
      <c r="E15" s="366"/>
      <c r="F15" s="366"/>
      <c r="H15" s="365">
        <f>'10Paramos'!F11</f>
        <v>0</v>
      </c>
      <c r="I15" s="365">
        <f>'10Paramos'!E12</f>
        <v>0</v>
      </c>
      <c r="J15" s="365" t="str">
        <f>'10Paramos'!E13</f>
        <v>Teniendo en cuenta la ubicación geográfica de la jurisdicción de la Corporación, la cual se encuentra en la parte baja de la desembocadura del río Magdalena, y su interacción con la zona marino-costera del caribe colombiano, se reporta que dentro de los ecosistemas presentes en su área de jurisdicción, no existen el ecosistema denominado "Páramo".</v>
      </c>
      <c r="L15" s="382">
        <f t="shared" si="0"/>
        <v>0</v>
      </c>
      <c r="M15" s="382" t="str">
        <f t="shared" si="1"/>
        <v/>
      </c>
      <c r="N15" s="383" t="str">
        <f t="shared" si="2"/>
        <v>Teniendo en cuenta la ubicación geográfica de la jurisdicción de la Corporación, la cual se encuentra en la parte baja de la desembocadura del río Magdalena, y su interacción con la zona marino-costera del caribe colombiano, se reporta que dentro de los ecosistemas presentes en su área de jurisdicción, no existen el ecosistema denominado "Páramo".</v>
      </c>
      <c r="O15" s="371" t="s">
        <v>849</v>
      </c>
      <c r="P15" s="369"/>
    </row>
    <row r="16" spans="1:18" ht="36" x14ac:dyDescent="0.25">
      <c r="A16" s="257" t="s">
        <v>860</v>
      </c>
      <c r="B16" s="258" t="s">
        <v>100</v>
      </c>
      <c r="C16" s="381" t="s">
        <v>2084</v>
      </c>
      <c r="D16" s="381" t="str">
        <f>+'11Forest'!D8</f>
        <v>NO APLICA</v>
      </c>
      <c r="E16" s="366"/>
      <c r="F16" s="366"/>
      <c r="H16" s="365">
        <f>+'11Forest'!F11</f>
        <v>0</v>
      </c>
      <c r="I16" s="365">
        <f>+'11Forest'!E12</f>
        <v>0</v>
      </c>
      <c r="J16" s="365" t="str">
        <f>+'11Forest'!E13</f>
        <v>Contamos con Plan de Ordenamiento Forestal Vigente</v>
      </c>
      <c r="L16" s="382">
        <f t="shared" si="0"/>
        <v>0</v>
      </c>
      <c r="M16" s="382" t="str">
        <f t="shared" si="1"/>
        <v/>
      </c>
      <c r="N16" s="383" t="str">
        <f t="shared" si="2"/>
        <v>Contamos con Plan de Ordenamiento Forestal Vigente</v>
      </c>
      <c r="O16" s="371" t="s">
        <v>849</v>
      </c>
      <c r="P16" s="369"/>
    </row>
    <row r="17" spans="1:16" ht="300" x14ac:dyDescent="0.25">
      <c r="A17" s="257" t="s">
        <v>861</v>
      </c>
      <c r="B17" s="258" t="s">
        <v>101</v>
      </c>
      <c r="C17" s="381">
        <v>0</v>
      </c>
      <c r="D17" s="381" t="str">
        <f>+'12PlanesAP'!D8</f>
        <v>NO APLICA</v>
      </c>
      <c r="E17" s="366"/>
      <c r="F17" s="366"/>
      <c r="H17" s="365">
        <f>+'12PlanesAP'!F11</f>
        <v>0</v>
      </c>
      <c r="I17" s="365">
        <f>+'12PlanesAP'!E12</f>
        <v>0</v>
      </c>
      <c r="J17" s="365" t="str">
        <f>+'12PlanesAP'!E13</f>
        <v xml:space="preserve">La Corporación en materia de áreas protegidas está implementando, junto con otros actores institucionales, ONGs, Cooperación Internacional y Organizaciones Etnico-Campesinas, una estrategia de conectividad socio-ecosistémica que incluye Reservas Naturales de la Sociedad Civil (se han declarado 47 reservas que abarcan un área de 2680 ha), Acuerdos de Conservación (187 acuerdos con familias campesinas), Corredodres de Conectividad (corredorde conectividad San Juan - San Jacinto, 4993 ha, aprobado mediante Res. 0782 del 2019) y otras estrategias complementarias </v>
      </c>
      <c r="L17" s="382" t="str">
        <f t="shared" si="0"/>
        <v/>
      </c>
      <c r="M17" s="382" t="str">
        <f t="shared" si="1"/>
        <v/>
      </c>
      <c r="N17" s="383" t="str">
        <f t="shared" si="2"/>
        <v xml:space="preserve">La Corporación en materia de áreas protegidas está implementando, junto con otros actores institucionales, ONGs, Cooperación Internacional y Organizaciones Etnico-Campesinas, una estrategia de conectividad socio-ecosistémica que incluye Reservas Naturales de la Sociedad Civil (se han declarado 47 reservas que abarcan un área de 2680 ha), Acuerdos de Conservación (187 acuerdos con familias campesinas), Corredodres de Conectividad (corredorde conectividad San Juan - San Jacinto, 4993 ha, aprobado mediante Res. 0782 del 2019) y otras estrategias complementarias </v>
      </c>
      <c r="O17" s="371" t="s">
        <v>849</v>
      </c>
      <c r="P17" s="369"/>
    </row>
    <row r="18" spans="1:16" ht="25.5" x14ac:dyDescent="0.25">
      <c r="A18" s="257" t="s">
        <v>862</v>
      </c>
      <c r="B18" s="258" t="s">
        <v>102</v>
      </c>
      <c r="C18" s="381" t="s">
        <v>2083</v>
      </c>
      <c r="D18" s="381">
        <f>+'13Amenaz'!D8</f>
        <v>1</v>
      </c>
      <c r="E18" s="366"/>
      <c r="F18" s="366"/>
      <c r="H18" s="365">
        <f>+'13Amenaz'!F11</f>
        <v>0</v>
      </c>
      <c r="I18" s="365" t="str">
        <f>+'13Amenaz'!E12</f>
        <v>Gestion Integral de la Fauna Silvestre</v>
      </c>
      <c r="J18" s="365">
        <f>+'13Amenaz'!E13</f>
        <v>0</v>
      </c>
      <c r="L18" s="382">
        <f t="shared" si="0"/>
        <v>0</v>
      </c>
      <c r="M18" s="382" t="str">
        <f t="shared" si="1"/>
        <v>Gestion Integral de la Fauna Silvestre</v>
      </c>
      <c r="N18" s="383" t="str">
        <f t="shared" si="2"/>
        <v/>
      </c>
      <c r="O18" s="371" t="s">
        <v>849</v>
      </c>
      <c r="P18" s="369"/>
    </row>
    <row r="19" spans="1:16" ht="168" x14ac:dyDescent="0.25">
      <c r="A19" s="257" t="s">
        <v>863</v>
      </c>
      <c r="B19" s="258" t="s">
        <v>103</v>
      </c>
      <c r="C19" s="381" t="s">
        <v>2083</v>
      </c>
      <c r="D19" s="381">
        <f>+'14Invasor'!D8</f>
        <v>0.5</v>
      </c>
      <c r="E19" s="366"/>
      <c r="F19" s="366"/>
      <c r="H19" s="365">
        <f>+'14Invasor'!F11</f>
        <v>0</v>
      </c>
      <c r="I19" s="365" t="str">
        <f>+'14Invasor'!E12</f>
        <v>Gestion Integral de la Fauna Silvestre</v>
      </c>
      <c r="J19" s="365" t="str">
        <f>+'14Invasor'!E13</f>
        <v xml:space="preserve">La entidad adelanto distintas gestiones  de control y vigilancia para el manejo de especimenes en campo. Controles como, recoleccion y destrucción de especimenes de Caracol Gigante Africano, capacitaciones en el manejo del mismo e implementación del Plan de prevención, control y manejo (PPCM) de caracol gigante africano. </v>
      </c>
      <c r="L19" s="382">
        <f t="shared" si="0"/>
        <v>0</v>
      </c>
      <c r="M19" s="382" t="str">
        <f t="shared" si="1"/>
        <v>Gestion Integral de la Fauna Silvestre</v>
      </c>
      <c r="N19" s="383" t="str">
        <f t="shared" si="2"/>
        <v xml:space="preserve">La entidad adelanto distintas gestiones  de control y vigilancia para el manejo de especimenes en campo. Controles como, recoleccion y destrucción de especimenes de Caracol Gigante Africano, capacitaciones en el manejo del mismo e implementación del Plan de prevención, control y manejo (PPCM) de caracol gigante africano. </v>
      </c>
      <c r="O19" s="371" t="s">
        <v>849</v>
      </c>
      <c r="P19" s="369"/>
    </row>
    <row r="20" spans="1:16" ht="25.5" x14ac:dyDescent="0.25">
      <c r="A20" s="257" t="s">
        <v>864</v>
      </c>
      <c r="B20" s="258" t="s">
        <v>104</v>
      </c>
      <c r="C20" s="381" t="s">
        <v>2084</v>
      </c>
      <c r="D20" s="381">
        <f>+'15Restaura'!D8</f>
        <v>1.2454090150250416</v>
      </c>
      <c r="E20" s="366"/>
      <c r="F20" s="366"/>
      <c r="H20" s="365">
        <f>+'15Restaura'!F11</f>
        <v>0</v>
      </c>
      <c r="I20" s="365">
        <f>+'15Restaura'!E12</f>
        <v>0</v>
      </c>
      <c r="J20" s="365">
        <f>+'15Restaura'!E13</f>
        <v>0</v>
      </c>
      <c r="L20" s="382">
        <f t="shared" si="0"/>
        <v>0</v>
      </c>
      <c r="M20" s="382" t="str">
        <f t="shared" si="1"/>
        <v/>
      </c>
      <c r="N20" s="383" t="str">
        <f t="shared" si="2"/>
        <v/>
      </c>
      <c r="O20" s="371" t="s">
        <v>849</v>
      </c>
      <c r="P20" s="369"/>
    </row>
    <row r="21" spans="1:16" x14ac:dyDescent="0.25">
      <c r="A21" s="257" t="s">
        <v>865</v>
      </c>
      <c r="B21" s="258" t="s">
        <v>105</v>
      </c>
      <c r="C21" s="381">
        <v>0</v>
      </c>
      <c r="D21" s="381">
        <f>+'16MIZC'!D8</f>
        <v>0</v>
      </c>
      <c r="E21" s="366"/>
      <c r="F21" s="366"/>
      <c r="H21" s="365">
        <f>+'16MIZC'!F11</f>
        <v>0</v>
      </c>
      <c r="I21" s="365">
        <f>+'16MIZC'!E12</f>
        <v>0</v>
      </c>
      <c r="J21" s="365">
        <f>+'16MIZC'!E13</f>
        <v>0</v>
      </c>
      <c r="L21" s="382" t="str">
        <f t="shared" si="0"/>
        <v/>
      </c>
      <c r="M21" s="382" t="str">
        <f t="shared" si="1"/>
        <v/>
      </c>
      <c r="N21" s="383" t="str">
        <f t="shared" si="2"/>
        <v/>
      </c>
      <c r="O21" s="371" t="s">
        <v>849</v>
      </c>
      <c r="P21" s="369"/>
    </row>
    <row r="22" spans="1:16" ht="25.5" x14ac:dyDescent="0.25">
      <c r="A22" s="257" t="s">
        <v>866</v>
      </c>
      <c r="B22" s="258" t="s">
        <v>106</v>
      </c>
      <c r="C22" s="381">
        <v>0</v>
      </c>
      <c r="D22" s="381">
        <f>+'17PGIRS'!D8</f>
        <v>0.8571428571428571</v>
      </c>
      <c r="E22" s="366"/>
      <c r="F22" s="366"/>
      <c r="H22" s="365">
        <f>+'17PGIRS'!F11</f>
        <v>0</v>
      </c>
      <c r="I22" s="365">
        <f>+'17PGIRS'!E12</f>
        <v>0</v>
      </c>
      <c r="J22" s="365">
        <f>+'17PGIRS'!E13</f>
        <v>0</v>
      </c>
      <c r="L22" s="382" t="str">
        <f t="shared" si="0"/>
        <v/>
      </c>
      <c r="M22" s="382" t="str">
        <f t="shared" si="1"/>
        <v/>
      </c>
      <c r="N22" s="383" t="str">
        <f t="shared" si="2"/>
        <v/>
      </c>
      <c r="O22" s="371" t="s">
        <v>849</v>
      </c>
      <c r="P22" s="369"/>
    </row>
    <row r="23" spans="1:16" ht="25.5" x14ac:dyDescent="0.25">
      <c r="A23" s="257" t="s">
        <v>867</v>
      </c>
      <c r="B23" s="258" t="s">
        <v>107</v>
      </c>
      <c r="C23" s="381">
        <v>0</v>
      </c>
      <c r="D23" s="381">
        <f>+'18Sector'!D8</f>
        <v>0</v>
      </c>
      <c r="E23" s="366"/>
      <c r="F23" s="366"/>
      <c r="H23" s="365">
        <f>+'18Sector'!F11</f>
        <v>0</v>
      </c>
      <c r="I23" s="365">
        <f>+'18Sector'!E12</f>
        <v>0</v>
      </c>
      <c r="J23" s="365">
        <f>+'18Sector'!E13</f>
        <v>0</v>
      </c>
      <c r="L23" s="382" t="str">
        <f t="shared" si="0"/>
        <v/>
      </c>
      <c r="M23" s="382" t="str">
        <f t="shared" si="1"/>
        <v/>
      </c>
      <c r="N23" s="383" t="str">
        <f t="shared" si="2"/>
        <v/>
      </c>
      <c r="O23" s="371" t="s">
        <v>849</v>
      </c>
      <c r="P23" s="369"/>
    </row>
    <row r="24" spans="1:16" x14ac:dyDescent="0.25">
      <c r="A24" s="257" t="s">
        <v>868</v>
      </c>
      <c r="B24" s="258" t="s">
        <v>108</v>
      </c>
      <c r="C24" s="381">
        <v>0</v>
      </c>
      <c r="D24" s="381">
        <f>+'19GAU'!D8</f>
        <v>1</v>
      </c>
      <c r="E24" s="366"/>
      <c r="F24" s="366"/>
      <c r="H24" s="365">
        <f>+'19GAU'!F11</f>
        <v>0</v>
      </c>
      <c r="I24" s="365">
        <f>+'19GAU'!E12</f>
        <v>0</v>
      </c>
      <c r="J24" s="365">
        <f>+'19GAU'!E13</f>
        <v>0</v>
      </c>
      <c r="L24" s="382" t="str">
        <f t="shared" si="0"/>
        <v/>
      </c>
      <c r="M24" s="382" t="str">
        <f t="shared" si="1"/>
        <v/>
      </c>
      <c r="N24" s="383" t="str">
        <f t="shared" si="2"/>
        <v/>
      </c>
      <c r="O24" s="371" t="s">
        <v>849</v>
      </c>
      <c r="P24" s="369"/>
    </row>
    <row r="25" spans="1:16" ht="25.5" x14ac:dyDescent="0.25">
      <c r="A25" s="257" t="s">
        <v>869</v>
      </c>
      <c r="B25" s="258" t="s">
        <v>109</v>
      </c>
      <c r="C25" s="381">
        <v>0</v>
      </c>
      <c r="D25" s="381">
        <f>+'20Negoc'!D8</f>
        <v>0.99995206602613085</v>
      </c>
      <c r="E25" s="366"/>
      <c r="F25" s="366"/>
      <c r="H25" s="365">
        <f>+'20Negoc'!F11</f>
        <v>0</v>
      </c>
      <c r="I25" s="365">
        <f>+'20Negoc'!E12</f>
        <v>0</v>
      </c>
      <c r="J25" s="365">
        <f>+'20Negoc'!E13</f>
        <v>0</v>
      </c>
      <c r="L25" s="382" t="str">
        <f t="shared" si="0"/>
        <v/>
      </c>
      <c r="M25" s="382" t="str">
        <f t="shared" si="1"/>
        <v/>
      </c>
      <c r="N25" s="383" t="str">
        <f t="shared" si="2"/>
        <v/>
      </c>
      <c r="O25" s="371" t="s">
        <v>849</v>
      </c>
      <c r="P25" s="369"/>
    </row>
    <row r="26" spans="1:16" ht="25.5" x14ac:dyDescent="0.25">
      <c r="A26" s="257" t="s">
        <v>870</v>
      </c>
      <c r="B26" s="258" t="s">
        <v>110</v>
      </c>
      <c r="C26" s="381" t="e">
        <v>#DIV/0!</v>
      </c>
      <c r="D26" s="381">
        <f>+'21TiempoT'!D8</f>
        <v>0.32458092428036978</v>
      </c>
      <c r="E26" s="366"/>
      <c r="F26" s="366"/>
      <c r="H26" s="365">
        <f>+'21TiempoT'!F11</f>
        <v>0</v>
      </c>
      <c r="I26" s="365">
        <f>+'21TiempoT'!E12</f>
        <v>0</v>
      </c>
      <c r="J26" s="365">
        <f>+'21TiempoT'!E13</f>
        <v>0</v>
      </c>
      <c r="L26" s="382">
        <f t="shared" si="0"/>
        <v>0</v>
      </c>
      <c r="M26" s="382" t="str">
        <f t="shared" si="1"/>
        <v/>
      </c>
      <c r="N26" s="383" t="str">
        <f t="shared" si="2"/>
        <v/>
      </c>
      <c r="O26" s="371" t="s">
        <v>849</v>
      </c>
      <c r="P26" s="369"/>
    </row>
    <row r="27" spans="1:16" x14ac:dyDescent="0.25">
      <c r="A27" s="257" t="s">
        <v>871</v>
      </c>
      <c r="B27" s="258" t="s">
        <v>111</v>
      </c>
      <c r="C27" s="381" t="e">
        <v>#DIV/0!</v>
      </c>
      <c r="D27" s="381">
        <f>+'22Autor'!D8</f>
        <v>0.81818181818181812</v>
      </c>
      <c r="E27" s="366"/>
      <c r="F27" s="366"/>
      <c r="H27" s="365">
        <f>+'22Autor'!F11</f>
        <v>0</v>
      </c>
      <c r="I27" s="365">
        <f>+'22Autor'!E12</f>
        <v>0</v>
      </c>
      <c r="J27" s="365">
        <f>+'22Autor'!E13</f>
        <v>0</v>
      </c>
      <c r="L27" s="382">
        <f t="shared" si="0"/>
        <v>0</v>
      </c>
      <c r="M27" s="382" t="str">
        <f t="shared" si="1"/>
        <v/>
      </c>
      <c r="N27" s="383" t="str">
        <f t="shared" si="2"/>
        <v/>
      </c>
      <c r="O27" s="371" t="s">
        <v>849</v>
      </c>
      <c r="P27" s="369"/>
    </row>
    <row r="28" spans="1:16" x14ac:dyDescent="0.25">
      <c r="A28" s="257" t="s">
        <v>872</v>
      </c>
      <c r="B28" s="258" t="s">
        <v>112</v>
      </c>
      <c r="C28" s="381" t="e">
        <v>#DIV/0!</v>
      </c>
      <c r="D28" s="381">
        <f>+'22Autor'!D8</f>
        <v>0.81818181818181812</v>
      </c>
      <c r="E28" s="366"/>
      <c r="F28" s="366"/>
      <c r="H28" s="365">
        <f>+'22Autor'!F11</f>
        <v>0</v>
      </c>
      <c r="I28" s="365">
        <f>+'22Autor'!E12</f>
        <v>0</v>
      </c>
      <c r="J28" s="365">
        <f>+'22Autor'!E13</f>
        <v>0</v>
      </c>
      <c r="L28" s="382">
        <f t="shared" si="0"/>
        <v>0</v>
      </c>
      <c r="M28" s="382" t="str">
        <f t="shared" si="1"/>
        <v/>
      </c>
      <c r="N28" s="383" t="str">
        <f t="shared" si="2"/>
        <v/>
      </c>
      <c r="O28" s="371" t="s">
        <v>849</v>
      </c>
      <c r="P28" s="369"/>
    </row>
    <row r="29" spans="1:16" ht="51" x14ac:dyDescent="0.25">
      <c r="A29" s="257" t="s">
        <v>873</v>
      </c>
      <c r="B29" s="258" t="s">
        <v>113</v>
      </c>
      <c r="C29" s="381" t="e">
        <v>#DIV/0!</v>
      </c>
      <c r="D29" s="381">
        <f>'24POT'!D7</f>
        <v>1</v>
      </c>
      <c r="E29" s="366"/>
      <c r="F29" s="366"/>
      <c r="H29" s="365">
        <f>'24POT'!F10</f>
        <v>0</v>
      </c>
      <c r="I29" s="365">
        <f>'24POT'!E11</f>
        <v>0</v>
      </c>
      <c r="J29" s="365">
        <f>'24POT'!E12</f>
        <v>0</v>
      </c>
      <c r="L29" s="382">
        <f t="shared" si="0"/>
        <v>0</v>
      </c>
      <c r="M29" s="382" t="str">
        <f t="shared" si="1"/>
        <v/>
      </c>
      <c r="N29" s="383" t="str">
        <f t="shared" si="2"/>
        <v/>
      </c>
      <c r="O29" s="371" t="s">
        <v>849</v>
      </c>
      <c r="P29" s="369"/>
    </row>
    <row r="30" spans="1:16" x14ac:dyDescent="0.25">
      <c r="A30" s="257" t="s">
        <v>874</v>
      </c>
      <c r="B30" s="258" t="s">
        <v>114</v>
      </c>
      <c r="C30" s="381">
        <v>0</v>
      </c>
      <c r="D30" s="381">
        <f>+'25Redes'!D8</f>
        <v>1</v>
      </c>
      <c r="E30" s="366"/>
      <c r="F30" s="366"/>
      <c r="H30" s="365">
        <f>+'25Redes'!F11</f>
        <v>0</v>
      </c>
      <c r="I30" s="365">
        <f>+'25Redes'!E12</f>
        <v>0</v>
      </c>
      <c r="J30" s="365">
        <f>+'25Redes'!E13</f>
        <v>0</v>
      </c>
      <c r="L30" s="382" t="str">
        <f t="shared" si="0"/>
        <v/>
      </c>
      <c r="M30" s="382" t="str">
        <f t="shared" si="1"/>
        <v/>
      </c>
      <c r="N30" s="383" t="str">
        <f t="shared" si="2"/>
        <v/>
      </c>
      <c r="O30" s="371" t="s">
        <v>849</v>
      </c>
      <c r="P30" s="369"/>
    </row>
    <row r="31" spans="1:16" x14ac:dyDescent="0.25">
      <c r="A31" s="257" t="s">
        <v>875</v>
      </c>
      <c r="B31" s="258" t="s">
        <v>115</v>
      </c>
      <c r="C31" s="381" t="e">
        <v>#DIV/0!</v>
      </c>
      <c r="D31" s="381">
        <f>+'26SIAC'!D8</f>
        <v>0.61111111111111105</v>
      </c>
      <c r="E31" s="366"/>
      <c r="F31" s="366"/>
      <c r="H31" s="365">
        <f>+'26SIAC'!F11</f>
        <v>0</v>
      </c>
      <c r="I31" s="365">
        <f>+'26SIAC'!E12</f>
        <v>0</v>
      </c>
      <c r="J31" s="365">
        <f>+'26SIAC'!E13</f>
        <v>0</v>
      </c>
      <c r="L31" s="382">
        <f t="shared" si="0"/>
        <v>0</v>
      </c>
      <c r="M31" s="382" t="str">
        <f t="shared" si="1"/>
        <v/>
      </c>
      <c r="N31" s="383" t="str">
        <f t="shared" si="2"/>
        <v/>
      </c>
      <c r="O31" s="371" t="s">
        <v>849</v>
      </c>
      <c r="P31" s="369"/>
    </row>
    <row r="32" spans="1:16" x14ac:dyDescent="0.25">
      <c r="A32" s="257" t="s">
        <v>876</v>
      </c>
      <c r="B32" s="258" t="s">
        <v>116</v>
      </c>
      <c r="C32" s="381">
        <v>0</v>
      </c>
      <c r="D32" s="381">
        <f>+'27Educa'!D8</f>
        <v>0.99974680833268881</v>
      </c>
      <c r="E32" s="366"/>
      <c r="F32" s="366"/>
      <c r="H32" s="365">
        <f>+'27Educa'!F11</f>
        <v>0</v>
      </c>
      <c r="I32" s="365">
        <f>+'27Educa'!E12</f>
        <v>0</v>
      </c>
      <c r="J32" s="365">
        <f>+'27Educa'!E13</f>
        <v>0</v>
      </c>
      <c r="L32" s="382" t="str">
        <f t="shared" si="0"/>
        <v/>
      </c>
      <c r="M32" s="382" t="str">
        <f t="shared" si="1"/>
        <v/>
      </c>
      <c r="N32" s="383" t="str">
        <f t="shared" si="2"/>
        <v/>
      </c>
      <c r="O32" s="371" t="s">
        <v>849</v>
      </c>
      <c r="P32" s="369"/>
    </row>
  </sheetData>
  <mergeCells count="4">
    <mergeCell ref="A1:P1"/>
    <mergeCell ref="A3:P3"/>
    <mergeCell ref="A4:B4"/>
    <mergeCell ref="A2:P2"/>
  </mergeCells>
  <conditionalFormatting sqref="C6:C32">
    <cfRule type="colorScale" priority="22">
      <colorScale>
        <cfvo type="min"/>
        <cfvo type="percentile" val="50"/>
        <cfvo type="max"/>
        <color rgb="FFF8696B"/>
        <color rgb="FFFFEB84"/>
        <color rgb="FF63BE7B"/>
      </colorScale>
    </cfRule>
  </conditionalFormatting>
  <conditionalFormatting sqref="H7:I32">
    <cfRule type="colorScale" priority="19">
      <colorScale>
        <cfvo type="min"/>
        <cfvo type="percentile" val="50"/>
        <cfvo type="max"/>
        <color rgb="FFF8696B"/>
        <color rgb="FFFFEB84"/>
        <color rgb="FF63BE7B"/>
      </colorScale>
    </cfRule>
  </conditionalFormatting>
  <conditionalFormatting sqref="L6:L7">
    <cfRule type="colorScale" priority="15">
      <colorScale>
        <cfvo type="min"/>
        <cfvo type="percentile" val="50"/>
        <cfvo type="max"/>
        <color rgb="FFF8696B"/>
        <color rgb="FFFFEB84"/>
        <color rgb="FF63BE7B"/>
      </colorScale>
    </cfRule>
  </conditionalFormatting>
  <conditionalFormatting sqref="L8:L32">
    <cfRule type="colorScale" priority="14">
      <colorScale>
        <cfvo type="min"/>
        <cfvo type="percentile" val="50"/>
        <cfvo type="max"/>
        <color rgb="FFF8696B"/>
        <color rgb="FFFFEB84"/>
        <color rgb="FF63BE7B"/>
      </colorScale>
    </cfRule>
  </conditionalFormatting>
  <conditionalFormatting sqref="M6:M32">
    <cfRule type="colorScale" priority="13">
      <colorScale>
        <cfvo type="min"/>
        <cfvo type="percentile" val="50"/>
        <cfvo type="max"/>
        <color rgb="FFF8696B"/>
        <color rgb="FFFFEB84"/>
        <color rgb="FF63BE7B"/>
      </colorScale>
    </cfRule>
  </conditionalFormatting>
  <conditionalFormatting sqref="N6">
    <cfRule type="colorScale" priority="11">
      <colorScale>
        <cfvo type="min"/>
        <cfvo type="percentile" val="50"/>
        <cfvo type="max"/>
        <color rgb="FFF8696B"/>
        <color rgb="FFFFEB84"/>
        <color rgb="FF63BE7B"/>
      </colorScale>
    </cfRule>
  </conditionalFormatting>
  <conditionalFormatting sqref="N7:N32">
    <cfRule type="colorScale" priority="9">
      <colorScale>
        <cfvo type="min"/>
        <cfvo type="percentile" val="50"/>
        <cfvo type="max"/>
        <color rgb="FFF8696B"/>
        <color rgb="FFFFEB84"/>
        <color rgb="FF63BE7B"/>
      </colorScale>
    </cfRule>
  </conditionalFormatting>
  <conditionalFormatting sqref="J7:J32">
    <cfRule type="colorScale" priority="8">
      <colorScale>
        <cfvo type="min"/>
        <cfvo type="percentile" val="50"/>
        <cfvo type="max"/>
        <color rgb="FFF8696B"/>
        <color rgb="FFFFEB84"/>
        <color rgb="FF63BE7B"/>
      </colorScale>
    </cfRule>
  </conditionalFormatting>
  <conditionalFormatting sqref="H6:I6">
    <cfRule type="colorScale" priority="7">
      <colorScale>
        <cfvo type="min"/>
        <cfvo type="percentile" val="50"/>
        <cfvo type="max"/>
        <color rgb="FFF8696B"/>
        <color rgb="FFFFEB84"/>
        <color rgb="FF63BE7B"/>
      </colorScale>
    </cfRule>
  </conditionalFormatting>
  <conditionalFormatting sqref="J6">
    <cfRule type="colorScale" priority="6">
      <colorScale>
        <cfvo type="min"/>
        <cfvo type="percentile" val="50"/>
        <cfvo type="max"/>
        <color rgb="FFF8696B"/>
        <color rgb="FFFFEB84"/>
        <color rgb="FF63BE7B"/>
      </colorScale>
    </cfRule>
  </conditionalFormatting>
  <conditionalFormatting sqref="O6">
    <cfRule type="colorScale" priority="3">
      <colorScale>
        <cfvo type="min"/>
        <cfvo type="percentile" val="50"/>
        <cfvo type="max"/>
        <color rgb="FFF8696B"/>
        <color rgb="FFFFEB84"/>
        <color rgb="FF63BE7B"/>
      </colorScale>
    </cfRule>
  </conditionalFormatting>
  <conditionalFormatting sqref="O7:O32">
    <cfRule type="colorScale" priority="2">
      <colorScale>
        <cfvo type="min"/>
        <cfvo type="percentile" val="50"/>
        <cfvo type="max"/>
        <color rgb="FFF8696B"/>
        <color rgb="FFFFEB84"/>
        <color rgb="FF63BE7B"/>
      </colorScale>
    </cfRule>
  </conditionalFormatting>
  <conditionalFormatting sqref="D6:D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 ref="B26" location="'21TiempoT'!_Toc467769488" display="Tiempo promedio de trámite para la resolución de autorizaciones ambientales otorgadas por la corporación"/>
  </hyperlinks>
  <pageMargins left="0.7" right="0.7" top="0.75" bottom="0.75" header="0.3" footer="0.3"/>
  <pageSetup paperSize="178"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U181"/>
  <sheetViews>
    <sheetView showGridLines="0" zoomScale="98" zoomScaleNormal="98" workbookViewId="0">
      <selection activeCell="E14" sqref="E14"/>
    </sheetView>
  </sheetViews>
  <sheetFormatPr baseColWidth="10" defaultColWidth="11.42578125" defaultRowHeight="15" x14ac:dyDescent="0.25"/>
  <cols>
    <col min="1" max="1" width="1.85546875" customWidth="1"/>
    <col min="2" max="2" width="12.85546875" style="5" customWidth="1"/>
    <col min="3" max="3" width="5" style="86" bestFit="1" customWidth="1"/>
    <col min="4" max="4" width="34.85546875" customWidth="1"/>
    <col min="5" max="5" width="12.140625" customWidth="1"/>
    <col min="6" max="6" width="30.28515625" customWidth="1"/>
  </cols>
  <sheetData>
    <row r="1" spans="1:21" s="387" customFormat="1" ht="100.5" customHeight="1" thickBot="1" x14ac:dyDescent="0.3">
      <c r="A1" s="1391"/>
      <c r="B1" s="1392"/>
      <c r="C1" s="1392"/>
      <c r="D1" s="1392"/>
      <c r="E1" s="1392"/>
      <c r="F1" s="1392"/>
      <c r="G1" s="1392"/>
      <c r="H1" s="1392"/>
      <c r="I1" s="1392"/>
      <c r="J1" s="1392"/>
      <c r="K1" s="1393"/>
      <c r="L1" s="5"/>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0"/>
      <c r="K2" s="1401"/>
      <c r="L2" s="5"/>
      <c r="M2"/>
      <c r="N2"/>
      <c r="O2"/>
      <c r="P2"/>
      <c r="Q2"/>
      <c r="R2"/>
    </row>
    <row r="3" spans="1:21" s="388" customFormat="1" ht="16.5" customHeight="1" thickBot="1" x14ac:dyDescent="0.3">
      <c r="A3" s="1236" t="s">
        <v>841</v>
      </c>
      <c r="B3" s="1237"/>
      <c r="C3" s="1237"/>
      <c r="D3" s="1237"/>
      <c r="E3" s="1237"/>
      <c r="F3" s="1237"/>
      <c r="G3" s="1237"/>
      <c r="H3" s="1237"/>
      <c r="I3" s="1237"/>
      <c r="J3" s="1237"/>
      <c r="K3" s="1238"/>
      <c r="L3" s="5"/>
      <c r="M3"/>
      <c r="N3"/>
      <c r="O3"/>
      <c r="P3"/>
      <c r="Q3"/>
      <c r="R3"/>
    </row>
    <row r="4" spans="1:21" s="388" customFormat="1" ht="16.5" customHeight="1" thickBot="1" x14ac:dyDescent="0.3">
      <c r="A4" s="1397" t="s">
        <v>62</v>
      </c>
      <c r="B4" s="1398"/>
      <c r="C4" s="1398"/>
      <c r="D4" s="1398"/>
      <c r="E4" s="1398" t="str">
        <f>'Datos Generales'!C6</f>
        <v>2022-II</v>
      </c>
      <c r="F4" s="1398"/>
      <c r="G4" s="1398"/>
      <c r="H4" s="1398"/>
      <c r="I4" s="1398"/>
      <c r="J4" s="1398"/>
      <c r="K4" s="1454"/>
      <c r="L4" s="5"/>
      <c r="M4"/>
      <c r="N4"/>
      <c r="O4"/>
      <c r="P4"/>
      <c r="Q4"/>
      <c r="R4"/>
    </row>
    <row r="5" spans="1:21" ht="39.75" customHeight="1" thickBot="1" x14ac:dyDescent="0.3">
      <c r="A5" s="1236" t="s">
        <v>877</v>
      </c>
      <c r="B5" s="1237"/>
      <c r="C5" s="1237"/>
      <c r="D5" s="1237"/>
      <c r="E5" s="1237"/>
      <c r="F5" s="1237"/>
      <c r="G5" s="1237"/>
      <c r="H5" s="1237"/>
      <c r="I5" s="1237"/>
      <c r="J5" s="1237"/>
      <c r="K5" s="1238"/>
      <c r="L5" s="5"/>
    </row>
    <row r="6" spans="1:21" x14ac:dyDescent="0.25">
      <c r="B6" s="1" t="s">
        <v>878</v>
      </c>
      <c r="C6" s="75"/>
      <c r="D6" s="5"/>
      <c r="E6" s="412">
        <v>4</v>
      </c>
      <c r="F6" s="5" t="s">
        <v>879</v>
      </c>
      <c r="G6" s="5"/>
      <c r="H6" s="5"/>
      <c r="I6" s="5"/>
      <c r="J6" s="5"/>
      <c r="K6" s="5"/>
      <c r="L6" s="5"/>
    </row>
    <row r="7" spans="1:21" ht="15.75" thickBot="1" x14ac:dyDescent="0.3">
      <c r="B7" s="74"/>
      <c r="C7" s="76"/>
      <c r="D7" s="5"/>
      <c r="E7" s="17"/>
      <c r="F7" s="5" t="s">
        <v>880</v>
      </c>
      <c r="G7" s="5"/>
      <c r="H7" s="5"/>
      <c r="I7" s="5"/>
      <c r="J7" s="5"/>
      <c r="K7" s="5"/>
      <c r="L7" s="5"/>
    </row>
    <row r="8" spans="1:21" ht="15.75" thickBot="1" x14ac:dyDescent="0.3">
      <c r="B8" s="170" t="s">
        <v>881</v>
      </c>
      <c r="C8" s="225">
        <v>2022</v>
      </c>
      <c r="D8" s="214" t="str">
        <f ca="1">IF(E10="NO APLICA","NO APLICA",IF(E11="NO SE REPORTA","SIN INFORMACION",+H66))</f>
        <v>N.A.</v>
      </c>
      <c r="E8" s="226"/>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L11" s="557"/>
      <c r="M11" s="557"/>
      <c r="N11" s="557"/>
      <c r="O11" s="557"/>
      <c r="P11" s="557"/>
      <c r="Q11" s="557"/>
      <c r="R11" s="557"/>
      <c r="S11" s="557"/>
    </row>
    <row r="12" spans="1:21" ht="23.45" customHeight="1" x14ac:dyDescent="0.25">
      <c r="B12" s="356"/>
      <c r="C12" s="87"/>
      <c r="D12" s="386" t="str">
        <f>IF(E11="SI SE REPORTA","¿Qué programas o proyectos del Plan de Acción están asociados al indicador? ","")</f>
        <v xml:space="preserve">¿Qué programas o proyectos del Plan de Acción están asociados al indicador? </v>
      </c>
      <c r="E12" s="1448"/>
      <c r="F12" s="1449"/>
      <c r="G12" s="1449"/>
      <c r="H12" s="1449"/>
      <c r="I12" s="1449"/>
      <c r="J12" s="1449"/>
      <c r="K12" s="1450"/>
      <c r="Q12" s="552"/>
      <c r="R12" s="552"/>
    </row>
    <row r="13" spans="1:21" ht="30" customHeight="1" x14ac:dyDescent="0.25">
      <c r="B13" s="356"/>
      <c r="C13" s="87"/>
      <c r="D13" s="171" t="s">
        <v>887</v>
      </c>
      <c r="E13" s="1451" t="s">
        <v>2657</v>
      </c>
      <c r="F13" s="1452"/>
      <c r="G13" s="1452"/>
      <c r="H13" s="1452"/>
      <c r="I13" s="1452"/>
      <c r="J13" s="1452"/>
      <c r="K13" s="1453"/>
      <c r="Q13" s="552"/>
      <c r="R13" s="552"/>
    </row>
    <row r="14" spans="1:21" ht="6.75" customHeight="1" thickBot="1" x14ac:dyDescent="0.3">
      <c r="B14" s="356"/>
      <c r="C14" s="87"/>
      <c r="D14" s="5"/>
      <c r="E14" s="5"/>
      <c r="F14" s="5"/>
      <c r="G14" s="5"/>
      <c r="H14" s="5"/>
      <c r="I14" s="5"/>
      <c r="J14" s="5"/>
      <c r="K14" s="5"/>
      <c r="Q14" s="552"/>
      <c r="R14" s="552"/>
    </row>
    <row r="15" spans="1:21" ht="15.6" customHeight="1" thickBot="1" x14ac:dyDescent="0.3">
      <c r="B15" s="1402" t="s">
        <v>888</v>
      </c>
      <c r="C15" s="101"/>
      <c r="D15" s="1408" t="s">
        <v>889</v>
      </c>
      <c r="E15" s="1409"/>
      <c r="F15" s="1409"/>
      <c r="G15" s="1409"/>
      <c r="H15" s="1409"/>
      <c r="I15" s="1409"/>
      <c r="J15" s="1409"/>
      <c r="K15" s="1410"/>
      <c r="Q15" s="552"/>
      <c r="R15" s="552"/>
    </row>
    <row r="16" spans="1:21" ht="36.75" thickBot="1" x14ac:dyDescent="0.3">
      <c r="B16" s="1403"/>
      <c r="C16" s="107"/>
      <c r="D16" s="43" t="s">
        <v>890</v>
      </c>
      <c r="E16" s="205">
        <v>6</v>
      </c>
      <c r="F16" s="5"/>
      <c r="G16" s="5"/>
      <c r="H16" s="5"/>
      <c r="I16" s="5"/>
      <c r="J16" s="5"/>
      <c r="K16" s="21"/>
    </row>
    <row r="17" spans="2:11" ht="36.75" thickBot="1" x14ac:dyDescent="0.3">
      <c r="B17" s="1403"/>
      <c r="C17" s="107"/>
      <c r="D17" s="40" t="s">
        <v>891</v>
      </c>
      <c r="E17" s="205">
        <v>1</v>
      </c>
      <c r="F17" s="5"/>
      <c r="G17" s="5"/>
      <c r="H17" s="5"/>
      <c r="I17" s="5"/>
      <c r="J17" s="5"/>
      <c r="K17" s="21"/>
    </row>
    <row r="18" spans="2:11" ht="48.75" thickBot="1" x14ac:dyDescent="0.3">
      <c r="B18" s="1403"/>
      <c r="C18" s="107"/>
      <c r="D18" s="40" t="s">
        <v>2504</v>
      </c>
      <c r="E18" s="205">
        <v>4</v>
      </c>
      <c r="F18" s="5"/>
      <c r="G18" s="5"/>
      <c r="H18" s="5"/>
      <c r="I18" s="5"/>
      <c r="J18" s="5"/>
      <c r="K18" s="21"/>
    </row>
    <row r="19" spans="2:11" ht="24.75" thickBot="1" x14ac:dyDescent="0.3">
      <c r="B19" s="1403"/>
      <c r="C19" s="107"/>
      <c r="D19" s="40" t="s">
        <v>892</v>
      </c>
      <c r="E19" s="205">
        <v>1</v>
      </c>
      <c r="F19" s="5"/>
      <c r="G19" s="5"/>
      <c r="H19" s="5"/>
      <c r="I19" s="5"/>
      <c r="J19" s="5"/>
      <c r="K19" s="21"/>
    </row>
    <row r="20" spans="2:11" ht="24.75" thickBot="1" x14ac:dyDescent="0.3">
      <c r="B20" s="1403"/>
      <c r="C20" s="107"/>
      <c r="D20" s="40" t="s">
        <v>893</v>
      </c>
      <c r="E20" s="205">
        <v>0</v>
      </c>
      <c r="F20" s="5"/>
      <c r="G20" s="5"/>
      <c r="H20" s="5"/>
      <c r="I20" s="5"/>
      <c r="J20" s="5"/>
      <c r="K20" s="21"/>
    </row>
    <row r="21" spans="2:11" ht="24.75" thickBot="1" x14ac:dyDescent="0.3">
      <c r="B21" s="1404"/>
      <c r="C21" s="107"/>
      <c r="D21" s="40" t="s">
        <v>894</v>
      </c>
      <c r="E21" s="205">
        <v>0</v>
      </c>
      <c r="F21" s="5"/>
      <c r="G21" s="5"/>
      <c r="H21" s="5"/>
      <c r="I21" s="5"/>
      <c r="J21" s="5"/>
      <c r="K21" s="21"/>
    </row>
    <row r="22" spans="2:11" ht="14.1" customHeight="1" x14ac:dyDescent="0.25">
      <c r="B22" s="268"/>
      <c r="C22" s="102"/>
      <c r="D22" s="1411" t="s">
        <v>895</v>
      </c>
      <c r="E22" s="1412"/>
      <c r="F22" s="1412"/>
      <c r="G22" s="1412"/>
      <c r="H22" s="1412"/>
      <c r="I22" s="1412"/>
      <c r="J22" s="1412"/>
      <c r="K22" s="1413"/>
    </row>
    <row r="23" spans="2:11" ht="14.1" customHeight="1" thickBot="1" x14ac:dyDescent="0.3">
      <c r="B23" s="268"/>
      <c r="C23" s="102"/>
      <c r="D23" s="1411" t="s">
        <v>896</v>
      </c>
      <c r="E23" s="1412"/>
      <c r="F23" s="1412"/>
      <c r="G23" s="1412"/>
      <c r="H23" s="1412"/>
      <c r="I23" s="1412"/>
      <c r="J23" s="1412"/>
      <c r="K23" s="1413"/>
    </row>
    <row r="24" spans="2:11" ht="45.75" thickBot="1" x14ac:dyDescent="0.3">
      <c r="B24" s="268"/>
      <c r="C24" s="8"/>
      <c r="D24" s="97" t="s">
        <v>897</v>
      </c>
      <c r="E24" s="97" t="s">
        <v>898</v>
      </c>
      <c r="F24" s="97" t="s">
        <v>899</v>
      </c>
      <c r="G24" s="97" t="s">
        <v>900</v>
      </c>
      <c r="H24" s="259" t="s">
        <v>2655</v>
      </c>
      <c r="I24" s="259" t="s">
        <v>2654</v>
      </c>
      <c r="J24" s="18"/>
      <c r="K24" s="19"/>
    </row>
    <row r="25" spans="2:11" s="188" customFormat="1" ht="14.1" customHeight="1" thickBot="1" x14ac:dyDescent="0.3">
      <c r="B25" s="219"/>
      <c r="C25" s="8">
        <v>1</v>
      </c>
      <c r="D25" s="160" t="s">
        <v>901</v>
      </c>
      <c r="E25" s="160" t="s">
        <v>2501</v>
      </c>
      <c r="F25" s="334" t="s">
        <v>2085</v>
      </c>
      <c r="G25" s="186">
        <v>61247</v>
      </c>
      <c r="H25" s="29" t="s">
        <v>2503</v>
      </c>
      <c r="I25" s="221">
        <v>1</v>
      </c>
      <c r="J25" s="18"/>
      <c r="K25" s="19"/>
    </row>
    <row r="26" spans="2:11" s="188" customFormat="1" ht="14.1" customHeight="1" thickBot="1" x14ac:dyDescent="0.3">
      <c r="B26" s="219"/>
      <c r="C26" s="8">
        <v>2</v>
      </c>
      <c r="D26" s="160" t="s">
        <v>901</v>
      </c>
      <c r="E26" s="160">
        <v>2901</v>
      </c>
      <c r="F26" s="334" t="s">
        <v>2086</v>
      </c>
      <c r="G26" s="186">
        <v>200481</v>
      </c>
      <c r="H26" s="29" t="s">
        <v>2503</v>
      </c>
      <c r="I26" s="221">
        <v>1</v>
      </c>
      <c r="J26" s="18"/>
      <c r="K26" s="19"/>
    </row>
    <row r="27" spans="2:11" s="188" customFormat="1" ht="14.1" customHeight="1" thickBot="1" x14ac:dyDescent="0.3">
      <c r="B27" s="219"/>
      <c r="C27" s="8">
        <v>3</v>
      </c>
      <c r="D27" s="981" t="s">
        <v>901</v>
      </c>
      <c r="E27" s="981">
        <v>2903</v>
      </c>
      <c r="F27" s="982" t="s">
        <v>2087</v>
      </c>
      <c r="G27" s="593">
        <v>441010.77</v>
      </c>
      <c r="H27" s="595" t="s">
        <v>1321</v>
      </c>
      <c r="I27" s="221">
        <v>1</v>
      </c>
      <c r="J27" s="18"/>
      <c r="K27" s="19"/>
    </row>
    <row r="28" spans="2:11" s="188" customFormat="1" ht="14.1" customHeight="1" thickBot="1" x14ac:dyDescent="0.3">
      <c r="B28" s="219"/>
      <c r="C28" s="8">
        <v>4</v>
      </c>
      <c r="D28" s="160" t="s">
        <v>901</v>
      </c>
      <c r="E28" s="160" t="s">
        <v>2502</v>
      </c>
      <c r="F28" s="334" t="s">
        <v>2088</v>
      </c>
      <c r="G28" s="186">
        <v>190860</v>
      </c>
      <c r="H28" s="29" t="s">
        <v>2503</v>
      </c>
      <c r="I28" s="221">
        <v>1</v>
      </c>
      <c r="J28" s="18"/>
      <c r="K28" s="19"/>
    </row>
    <row r="29" spans="2:11" s="188" customFormat="1" ht="14.1" customHeight="1" thickBot="1" x14ac:dyDescent="0.3">
      <c r="B29" s="219"/>
      <c r="C29" s="8">
        <v>5</v>
      </c>
      <c r="D29" s="981" t="s">
        <v>901</v>
      </c>
      <c r="E29" s="981" t="s">
        <v>2506</v>
      </c>
      <c r="F29" s="982" t="s">
        <v>2089</v>
      </c>
      <c r="G29" s="593">
        <v>122250</v>
      </c>
      <c r="H29" s="595" t="s">
        <v>2505</v>
      </c>
      <c r="I29" s="221">
        <v>0.15</v>
      </c>
      <c r="J29" s="18"/>
      <c r="K29" s="19"/>
    </row>
    <row r="30" spans="2:11" s="188" customFormat="1" ht="14.1" customHeight="1" thickBot="1" x14ac:dyDescent="0.3">
      <c r="B30" s="219"/>
      <c r="C30" s="8">
        <v>6</v>
      </c>
      <c r="D30" s="981" t="s">
        <v>901</v>
      </c>
      <c r="E30" s="981"/>
      <c r="F30" s="982" t="s">
        <v>2090</v>
      </c>
      <c r="G30" s="593"/>
      <c r="H30" s="595" t="s">
        <v>2651</v>
      </c>
      <c r="I30" s="221">
        <v>0</v>
      </c>
      <c r="J30" s="18"/>
      <c r="K30" s="19"/>
    </row>
    <row r="31" spans="2:11" s="188" customFormat="1" ht="14.1" customHeight="1" thickBot="1" x14ac:dyDescent="0.3">
      <c r="B31" s="219"/>
      <c r="C31" s="8">
        <v>6</v>
      </c>
      <c r="D31" s="981" t="s">
        <v>902</v>
      </c>
      <c r="E31" s="980"/>
      <c r="F31" s="982" t="s">
        <v>2652</v>
      </c>
      <c r="G31" s="593"/>
      <c r="H31" s="595" t="s">
        <v>2653</v>
      </c>
      <c r="I31" s="221">
        <v>1</v>
      </c>
      <c r="J31" s="18"/>
      <c r="K31" s="19"/>
    </row>
    <row r="32" spans="2:11" ht="14.1" customHeight="1" x14ac:dyDescent="0.25">
      <c r="B32" s="268"/>
      <c r="C32" s="102"/>
      <c r="D32" s="1414" t="s">
        <v>904</v>
      </c>
      <c r="E32" s="1415"/>
      <c r="F32" s="1415"/>
      <c r="G32" s="1415"/>
      <c r="H32" s="1415"/>
      <c r="I32" s="1415"/>
      <c r="J32" s="1415"/>
      <c r="K32" s="1416"/>
    </row>
    <row r="33" spans="2:11" ht="14.1" customHeight="1" x14ac:dyDescent="0.25">
      <c r="B33" s="268"/>
      <c r="C33" s="102"/>
      <c r="D33" s="1417" t="s">
        <v>905</v>
      </c>
      <c r="E33" s="1418"/>
      <c r="F33" s="1418"/>
      <c r="G33" s="1418"/>
      <c r="H33" s="1418"/>
      <c r="I33" s="1418"/>
      <c r="J33" s="1418"/>
      <c r="K33" s="1419"/>
    </row>
    <row r="34" spans="2:11" ht="14.1" customHeight="1" x14ac:dyDescent="0.25">
      <c r="B34" s="268"/>
      <c r="C34" s="102"/>
      <c r="D34" s="1417" t="s">
        <v>906</v>
      </c>
      <c r="E34" s="1418"/>
      <c r="F34" s="1418"/>
      <c r="G34" s="1418"/>
      <c r="H34" s="1418"/>
      <c r="I34" s="1418"/>
      <c r="J34" s="1418"/>
      <c r="K34" s="1419"/>
    </row>
    <row r="35" spans="2:11" ht="14.1" customHeight="1" x14ac:dyDescent="0.25">
      <c r="B35" s="268"/>
      <c r="C35" s="102"/>
      <c r="D35" s="1417" t="s">
        <v>907</v>
      </c>
      <c r="E35" s="1418"/>
      <c r="F35" s="1418"/>
      <c r="G35" s="1418"/>
      <c r="H35" s="1418"/>
      <c r="I35" s="1418"/>
      <c r="J35" s="1418"/>
      <c r="K35" s="1419"/>
    </row>
    <row r="36" spans="2:11" ht="14.1" customHeight="1" thickBot="1" x14ac:dyDescent="0.3">
      <c r="B36" s="268"/>
      <c r="C36" s="102"/>
      <c r="D36" s="1405" t="s">
        <v>908</v>
      </c>
      <c r="E36" s="1406"/>
      <c r="F36" s="1406"/>
      <c r="G36" s="1406"/>
      <c r="H36" s="1406"/>
      <c r="I36" s="1406"/>
      <c r="J36" s="1406"/>
      <c r="K36" s="1407"/>
    </row>
    <row r="37" spans="2:11" ht="14.1" customHeight="1" thickBot="1" x14ac:dyDescent="0.3">
      <c r="B37" s="268"/>
      <c r="C37" s="260" t="s">
        <v>842</v>
      </c>
      <c r="D37" s="69" t="s">
        <v>897</v>
      </c>
      <c r="E37" s="69" t="s">
        <v>898</v>
      </c>
      <c r="F37" s="66" t="s">
        <v>899</v>
      </c>
      <c r="G37" s="1214" t="s">
        <v>909</v>
      </c>
      <c r="H37" s="1214" t="s">
        <v>910</v>
      </c>
      <c r="I37" s="1214" t="s">
        <v>911</v>
      </c>
      <c r="J37" s="1214" t="s">
        <v>912</v>
      </c>
      <c r="K37" s="113"/>
    </row>
    <row r="38" spans="2:11" ht="14.1" customHeight="1" thickBot="1" x14ac:dyDescent="0.3">
      <c r="B38" s="268"/>
      <c r="C38" s="8">
        <v>1</v>
      </c>
      <c r="D38" s="160" t="s">
        <v>902</v>
      </c>
      <c r="E38" s="160"/>
      <c r="F38" s="982" t="s">
        <v>2652</v>
      </c>
      <c r="G38" s="31">
        <v>0</v>
      </c>
      <c r="H38" s="31">
        <v>0</v>
      </c>
      <c r="I38" s="31">
        <v>1</v>
      </c>
      <c r="J38" s="31">
        <v>0</v>
      </c>
      <c r="K38" s="111"/>
    </row>
    <row r="39" spans="2:11" ht="14.1" customHeight="1" x14ac:dyDescent="0.25">
      <c r="B39" s="268"/>
      <c r="C39" s="102"/>
      <c r="D39" s="1408" t="s">
        <v>913</v>
      </c>
      <c r="E39" s="1409"/>
      <c r="F39" s="1409"/>
      <c r="G39" s="1409"/>
      <c r="H39" s="1409"/>
      <c r="I39" s="1409"/>
      <c r="J39" s="1409"/>
      <c r="K39" s="1410"/>
    </row>
    <row r="40" spans="2:11" ht="14.1" customHeight="1" thickBot="1" x14ac:dyDescent="0.3">
      <c r="B40" s="268"/>
      <c r="C40" s="102"/>
      <c r="D40" s="1405" t="s">
        <v>914</v>
      </c>
      <c r="E40" s="1406"/>
      <c r="F40" s="1406"/>
      <c r="G40" s="1406"/>
      <c r="H40" s="1406"/>
      <c r="I40" s="1406"/>
      <c r="J40" s="1406"/>
      <c r="K40" s="1407"/>
    </row>
    <row r="41" spans="2:11" ht="14.1" customHeight="1" thickBot="1" x14ac:dyDescent="0.3">
      <c r="B41" s="268"/>
      <c r="C41" s="260" t="s">
        <v>842</v>
      </c>
      <c r="D41" s="69" t="s">
        <v>897</v>
      </c>
      <c r="E41" s="69" t="s">
        <v>915</v>
      </c>
      <c r="F41" s="66" t="s">
        <v>899</v>
      </c>
      <c r="G41" s="1214" t="s">
        <v>909</v>
      </c>
      <c r="H41" s="1214" t="s">
        <v>910</v>
      </c>
      <c r="I41" s="1214" t="s">
        <v>911</v>
      </c>
      <c r="J41" s="1214" t="s">
        <v>912</v>
      </c>
      <c r="K41" s="113"/>
    </row>
    <row r="42" spans="2:11" ht="14.1" customHeight="1" thickBot="1" x14ac:dyDescent="0.3">
      <c r="B42" s="268"/>
      <c r="C42" s="8">
        <v>1</v>
      </c>
      <c r="D42" s="222" t="s">
        <v>902</v>
      </c>
      <c r="E42" s="222" t="s">
        <v>2092</v>
      </c>
      <c r="F42" s="222" t="s">
        <v>2652</v>
      </c>
      <c r="G42" s="31">
        <v>0</v>
      </c>
      <c r="H42" s="589">
        <v>0</v>
      </c>
      <c r="I42" s="31">
        <v>1</v>
      </c>
      <c r="J42" s="31">
        <v>0</v>
      </c>
      <c r="K42" s="111"/>
    </row>
    <row r="43" spans="2:11" ht="14.1" customHeight="1" x14ac:dyDescent="0.25">
      <c r="B43" s="268"/>
      <c r="C43" s="102"/>
      <c r="D43" s="1408" t="s">
        <v>904</v>
      </c>
      <c r="E43" s="1409"/>
      <c r="F43" s="1409"/>
      <c r="G43" s="1409"/>
      <c r="H43" s="1409"/>
      <c r="I43" s="1409"/>
      <c r="J43" s="1409"/>
      <c r="K43" s="1410"/>
    </row>
    <row r="44" spans="2:11" ht="14.1" customHeight="1" x14ac:dyDescent="0.25">
      <c r="B44" s="268"/>
      <c r="C44" s="102"/>
      <c r="D44" s="1414" t="s">
        <v>916</v>
      </c>
      <c r="E44" s="1415"/>
      <c r="F44" s="1415"/>
      <c r="G44" s="1415"/>
      <c r="H44" s="1415"/>
      <c r="I44" s="1415"/>
      <c r="J44" s="1415"/>
      <c r="K44" s="1416"/>
    </row>
    <row r="45" spans="2:11" ht="14.1" customHeight="1" thickBot="1" x14ac:dyDescent="0.3">
      <c r="B45" s="268"/>
      <c r="C45" s="102"/>
      <c r="D45" s="1405" t="s">
        <v>917</v>
      </c>
      <c r="E45" s="1406"/>
      <c r="F45" s="1406"/>
      <c r="G45" s="1406"/>
      <c r="H45" s="1406"/>
      <c r="I45" s="1406"/>
      <c r="J45" s="1406"/>
      <c r="K45" s="1407"/>
    </row>
    <row r="46" spans="2:11" ht="14.1" customHeight="1" thickBot="1" x14ac:dyDescent="0.3">
      <c r="B46" s="268"/>
      <c r="C46" s="260" t="s">
        <v>842</v>
      </c>
      <c r="D46" s="69" t="s">
        <v>897</v>
      </c>
      <c r="E46" s="69" t="s">
        <v>915</v>
      </c>
      <c r="F46" s="66" t="s">
        <v>899</v>
      </c>
      <c r="G46" s="1214" t="s">
        <v>909</v>
      </c>
      <c r="H46" s="1214" t="s">
        <v>910</v>
      </c>
      <c r="I46" s="1214" t="s">
        <v>911</v>
      </c>
      <c r="J46" s="1214" t="s">
        <v>912</v>
      </c>
      <c r="K46" s="113"/>
    </row>
    <row r="47" spans="2:11" ht="14.1" customHeight="1" thickBot="1" x14ac:dyDescent="0.3">
      <c r="B47" s="268"/>
      <c r="C47" s="2">
        <v>1</v>
      </c>
      <c r="D47" s="261" t="s">
        <v>902</v>
      </c>
      <c r="E47" s="261" t="s">
        <v>2092</v>
      </c>
      <c r="F47" s="261" t="s">
        <v>2652</v>
      </c>
      <c r="G47" s="262">
        <v>0</v>
      </c>
      <c r="H47" s="262">
        <v>0</v>
      </c>
      <c r="I47" s="262">
        <v>1</v>
      </c>
      <c r="J47" s="262">
        <v>0</v>
      </c>
      <c r="K47" s="115"/>
    </row>
    <row r="48" spans="2:11" ht="14.1" customHeight="1" thickBot="1" x14ac:dyDescent="0.3">
      <c r="B48" s="268"/>
      <c r="C48" s="245"/>
      <c r="D48" s="126"/>
      <c r="E48" s="126"/>
      <c r="F48" s="1215"/>
      <c r="G48" s="1216"/>
      <c r="H48" s="1217"/>
      <c r="I48" s="1217"/>
      <c r="J48" s="1217"/>
      <c r="K48" s="23"/>
    </row>
    <row r="49" spans="2:11" ht="14.1" customHeight="1" thickBot="1" x14ac:dyDescent="0.3">
      <c r="B49" s="268"/>
      <c r="C49" s="97" t="s">
        <v>842</v>
      </c>
      <c r="D49" s="43" t="s">
        <v>897</v>
      </c>
      <c r="E49" s="43" t="s">
        <v>898</v>
      </c>
      <c r="F49" s="38" t="s">
        <v>899</v>
      </c>
      <c r="G49" s="89" t="s">
        <v>909</v>
      </c>
      <c r="H49" s="89" t="s">
        <v>910</v>
      </c>
      <c r="I49" s="89" t="s">
        <v>911</v>
      </c>
      <c r="J49" s="89" t="s">
        <v>912</v>
      </c>
      <c r="K49" s="113"/>
    </row>
    <row r="50" spans="2:11" s="188" customFormat="1" ht="14.1" customHeight="1" thickBot="1" x14ac:dyDescent="0.3">
      <c r="B50" s="219"/>
      <c r="C50" s="8">
        <v>1</v>
      </c>
      <c r="D50" s="160" t="s">
        <v>901</v>
      </c>
      <c r="E50" s="160"/>
      <c r="F50" s="1213" t="s">
        <v>2091</v>
      </c>
      <c r="G50" s="31">
        <v>0.1</v>
      </c>
      <c r="H50" s="31">
        <v>0.15</v>
      </c>
      <c r="I50" s="31">
        <v>0.82</v>
      </c>
      <c r="J50" s="31">
        <v>1</v>
      </c>
      <c r="K50" s="111"/>
    </row>
    <row r="51" spans="2:11" ht="14.1" customHeight="1" x14ac:dyDescent="0.25">
      <c r="B51" s="268"/>
      <c r="C51" s="102"/>
      <c r="D51" s="1408" t="s">
        <v>913</v>
      </c>
      <c r="E51" s="1409"/>
      <c r="F51" s="1409"/>
      <c r="G51" s="1409"/>
      <c r="H51" s="1409"/>
      <c r="I51" s="1409"/>
      <c r="J51" s="1409"/>
      <c r="K51" s="1410"/>
    </row>
    <row r="52" spans="2:11" ht="14.1" customHeight="1" thickBot="1" x14ac:dyDescent="0.3">
      <c r="B52" s="268"/>
      <c r="C52" s="102"/>
      <c r="D52" s="1405" t="s">
        <v>914</v>
      </c>
      <c r="E52" s="1406"/>
      <c r="F52" s="1406"/>
      <c r="G52" s="1406"/>
      <c r="H52" s="1406"/>
      <c r="I52" s="1406"/>
      <c r="J52" s="1406"/>
      <c r="K52" s="1407"/>
    </row>
    <row r="53" spans="2:11" ht="14.1" customHeight="1" thickBot="1" x14ac:dyDescent="0.3">
      <c r="B53" s="268"/>
      <c r="C53" s="97" t="s">
        <v>842</v>
      </c>
      <c r="D53" s="43" t="s">
        <v>897</v>
      </c>
      <c r="E53" s="43" t="s">
        <v>915</v>
      </c>
      <c r="F53" s="38" t="s">
        <v>899</v>
      </c>
      <c r="G53" s="89" t="s">
        <v>909</v>
      </c>
      <c r="H53" s="89" t="s">
        <v>910</v>
      </c>
      <c r="I53" s="89" t="s">
        <v>911</v>
      </c>
      <c r="J53" s="89" t="s">
        <v>912</v>
      </c>
      <c r="K53" s="113"/>
    </row>
    <row r="54" spans="2:11" s="188" customFormat="1" ht="14.1" customHeight="1" thickBot="1" x14ac:dyDescent="0.3">
      <c r="B54" s="219"/>
      <c r="C54" s="8">
        <v>1</v>
      </c>
      <c r="D54" s="222" t="s">
        <v>901</v>
      </c>
      <c r="E54" s="222" t="s">
        <v>2092</v>
      </c>
      <c r="F54" s="222" t="s">
        <v>2091</v>
      </c>
      <c r="G54" s="31">
        <v>0</v>
      </c>
      <c r="H54" s="589">
        <v>0</v>
      </c>
      <c r="I54" s="31">
        <v>0</v>
      </c>
      <c r="J54" s="31"/>
      <c r="K54" s="111"/>
    </row>
    <row r="55" spans="2:11" ht="14.1" customHeight="1" x14ac:dyDescent="0.25">
      <c r="B55" s="268"/>
      <c r="C55" s="102"/>
      <c r="D55" s="1408" t="s">
        <v>904</v>
      </c>
      <c r="E55" s="1409"/>
      <c r="F55" s="1409"/>
      <c r="G55" s="1409"/>
      <c r="H55" s="1409"/>
      <c r="I55" s="1409"/>
      <c r="J55" s="1409"/>
      <c r="K55" s="1410"/>
    </row>
    <row r="56" spans="2:11" ht="14.1" customHeight="1" x14ac:dyDescent="0.25">
      <c r="B56" s="268"/>
      <c r="C56" s="102"/>
      <c r="D56" s="1414" t="s">
        <v>916</v>
      </c>
      <c r="E56" s="1415"/>
      <c r="F56" s="1415"/>
      <c r="G56" s="1415"/>
      <c r="H56" s="1415"/>
      <c r="I56" s="1415"/>
      <c r="J56" s="1415"/>
      <c r="K56" s="1416"/>
    </row>
    <row r="57" spans="2:11" ht="14.1" customHeight="1" thickBot="1" x14ac:dyDescent="0.3">
      <c r="B57" s="268"/>
      <c r="C57" s="102"/>
      <c r="D57" s="1405" t="s">
        <v>917</v>
      </c>
      <c r="E57" s="1406"/>
      <c r="F57" s="1406"/>
      <c r="G57" s="1406"/>
      <c r="H57" s="1406"/>
      <c r="I57" s="1406"/>
      <c r="J57" s="1406"/>
      <c r="K57" s="1407"/>
    </row>
    <row r="58" spans="2:11" ht="14.1" customHeight="1" thickBot="1" x14ac:dyDescent="0.3">
      <c r="B58" s="268"/>
      <c r="C58" s="260" t="s">
        <v>842</v>
      </c>
      <c r="D58" s="69" t="s">
        <v>897</v>
      </c>
      <c r="E58" s="69" t="s">
        <v>915</v>
      </c>
      <c r="F58" s="66" t="s">
        <v>899</v>
      </c>
      <c r="G58" s="66" t="s">
        <v>909</v>
      </c>
      <c r="H58" s="66" t="s">
        <v>910</v>
      </c>
      <c r="I58" s="66" t="s">
        <v>911</v>
      </c>
      <c r="J58" s="66" t="s">
        <v>912</v>
      </c>
      <c r="K58" s="113"/>
    </row>
    <row r="59" spans="2:11" ht="14.1" customHeight="1" thickBot="1" x14ac:dyDescent="0.3">
      <c r="B59" s="268"/>
      <c r="C59" s="2">
        <v>1</v>
      </c>
      <c r="D59" s="261" t="s">
        <v>901</v>
      </c>
      <c r="E59" s="261" t="s">
        <v>2092</v>
      </c>
      <c r="F59" s="261" t="s">
        <v>2091</v>
      </c>
      <c r="G59" s="497">
        <v>0</v>
      </c>
      <c r="H59" s="262">
        <v>0</v>
      </c>
      <c r="I59" s="262">
        <v>0</v>
      </c>
      <c r="J59" s="262">
        <v>0</v>
      </c>
      <c r="K59" s="114"/>
    </row>
    <row r="60" spans="2:11" ht="14.1" customHeight="1" x14ac:dyDescent="0.25">
      <c r="B60" s="268"/>
      <c r="C60" s="102"/>
      <c r="D60" s="1420"/>
      <c r="E60" s="1421"/>
      <c r="F60" s="1421"/>
      <c r="G60" s="1421"/>
      <c r="H60" s="1421"/>
      <c r="I60" s="1421"/>
      <c r="J60" s="1421"/>
      <c r="K60" s="1422"/>
    </row>
    <row r="61" spans="2:11" ht="14.1" customHeight="1" thickBot="1" x14ac:dyDescent="0.3">
      <c r="B61" s="268"/>
      <c r="C61" s="102"/>
      <c r="D61" s="1405" t="s">
        <v>918</v>
      </c>
      <c r="E61" s="1406"/>
      <c r="F61" s="1406"/>
      <c r="G61" s="1406"/>
      <c r="H61" s="1406"/>
      <c r="I61" s="1406"/>
      <c r="J61" s="1406"/>
      <c r="K61" s="1407"/>
    </row>
    <row r="62" spans="2:11" ht="14.1" customHeight="1" thickBot="1" x14ac:dyDescent="0.3">
      <c r="B62" s="268"/>
      <c r="C62" s="263" t="s">
        <v>842</v>
      </c>
      <c r="D62" s="66" t="s">
        <v>919</v>
      </c>
      <c r="E62" s="66" t="s">
        <v>920</v>
      </c>
      <c r="F62" s="66"/>
      <c r="G62" s="66" t="s">
        <v>909</v>
      </c>
      <c r="H62" s="66" t="s">
        <v>910</v>
      </c>
      <c r="I62" s="66" t="s">
        <v>911</v>
      </c>
      <c r="J62" s="66" t="s">
        <v>912</v>
      </c>
      <c r="K62" s="113"/>
    </row>
    <row r="63" spans="2:11" ht="14.1" customHeight="1" thickBot="1" x14ac:dyDescent="0.3">
      <c r="B63" s="268"/>
      <c r="C63" s="99">
        <v>1</v>
      </c>
      <c r="D63" s="41" t="s">
        <v>921</v>
      </c>
      <c r="E63" s="31">
        <v>1</v>
      </c>
      <c r="F63" s="32"/>
      <c r="G63" s="498">
        <v>0</v>
      </c>
      <c r="H63" s="155">
        <v>0</v>
      </c>
      <c r="I63" s="155">
        <f ca="1">IFERROR(AVERAGEIF($D$59:$J$59,"POMCA",I$59:I$59),0)</f>
        <v>0</v>
      </c>
      <c r="J63" s="155">
        <f ca="1">IFERROR(AVERAGEIF($D$59:$J$59,"POMCA",J$59:J$59),0)</f>
        <v>0</v>
      </c>
      <c r="K63" s="111"/>
    </row>
    <row r="64" spans="2:11" ht="14.1" customHeight="1" thickBot="1" x14ac:dyDescent="0.3">
      <c r="B64" s="268"/>
      <c r="C64" s="99">
        <v>2</v>
      </c>
      <c r="D64" s="41" t="s">
        <v>902</v>
      </c>
      <c r="E64" s="31">
        <v>0</v>
      </c>
      <c r="F64" s="32"/>
      <c r="G64" s="155">
        <f ca="1">IFERROR(AVERAGEIF($D$59:$J$59,"PMA",G$59:G$59),0)</f>
        <v>0</v>
      </c>
      <c r="H64" s="155">
        <f ca="1">IFERROR(AVERAGEIF($D$59:$J$59,"PMA",H$59:H$59),0)</f>
        <v>0</v>
      </c>
      <c r="I64" s="155">
        <v>1</v>
      </c>
      <c r="J64" s="155">
        <f ca="1">IFERROR(AVERAGEIF($D$59:$J$59,"PMA",J$59:J$59),0)</f>
        <v>0</v>
      </c>
      <c r="K64" s="111"/>
    </row>
    <row r="65" spans="2:11" ht="14.1" customHeight="1" thickBot="1" x14ac:dyDescent="0.3">
      <c r="B65" s="268"/>
      <c r="C65" s="99">
        <v>3</v>
      </c>
      <c r="D65" s="41" t="s">
        <v>903</v>
      </c>
      <c r="E65" s="31">
        <v>0</v>
      </c>
      <c r="F65" s="32"/>
      <c r="G65" s="155">
        <f ca="1">IFERROR(AVERAGEIF($D$59:$J$59,"PMM",G$59:G$59),0)</f>
        <v>0</v>
      </c>
      <c r="H65" s="155">
        <f ca="1">IFERROR(AVERAGEIF($D$59:$J$59,"PMM",H$59:H$59),0)</f>
        <v>0</v>
      </c>
      <c r="I65" s="155">
        <f ca="1">IFERROR(AVERAGEIF($D$59:$J$59,"PMM",I$59:I$59),0)</f>
        <v>0</v>
      </c>
      <c r="J65" s="155">
        <f ca="1">IFERROR(AVERAGEIF($D$59:$J$59,"PMM",J$59:J$59),0)</f>
        <v>0</v>
      </c>
      <c r="K65" s="111"/>
    </row>
    <row r="66" spans="2:11" ht="14.1" customHeight="1" thickBot="1" x14ac:dyDescent="0.3">
      <c r="B66" s="268"/>
      <c r="D66" s="1430">
        <f>Formulas!$D$5</f>
        <v>1</v>
      </c>
      <c r="E66" s="1431"/>
      <c r="F66" s="384" t="s">
        <v>922</v>
      </c>
      <c r="G66" s="499" t="str">
        <f ca="1">Formulas!E5</f>
        <v>N.A.</v>
      </c>
      <c r="H66" s="194" t="str">
        <f ca="1">Formulas!F5</f>
        <v>N.A.</v>
      </c>
      <c r="I66" s="194" t="str">
        <f ca="1">Formulas!G5</f>
        <v>N.A.</v>
      </c>
      <c r="J66" s="194" t="str">
        <f ca="1">Formulas!H5</f>
        <v>N.A.</v>
      </c>
      <c r="K66" s="112"/>
    </row>
    <row r="67" spans="2:11" ht="14.1" customHeight="1" x14ac:dyDescent="0.25">
      <c r="B67" s="268"/>
      <c r="C67" s="102"/>
      <c r="D67" s="1432"/>
      <c r="E67" s="1433"/>
      <c r="F67" s="1433"/>
      <c r="G67" s="1433"/>
      <c r="H67" s="1433"/>
      <c r="I67" s="1433"/>
      <c r="J67" s="1433"/>
      <c r="K67" s="1434"/>
    </row>
    <row r="68" spans="2:11" ht="14.1" customHeight="1" x14ac:dyDescent="0.25">
      <c r="B68" s="268"/>
      <c r="C68" s="102"/>
      <c r="D68" s="1414" t="s">
        <v>923</v>
      </c>
      <c r="E68" s="1415"/>
      <c r="F68" s="1415"/>
      <c r="G68" s="1415"/>
      <c r="H68" s="1415"/>
      <c r="I68" s="1415"/>
      <c r="J68" s="1415"/>
      <c r="K68" s="1416"/>
    </row>
    <row r="69" spans="2:11" ht="14.1" customHeight="1" thickBot="1" x14ac:dyDescent="0.3">
      <c r="B69" s="71"/>
      <c r="C69" s="106"/>
      <c r="D69" s="244"/>
      <c r="E69" s="124"/>
      <c r="F69" s="124"/>
      <c r="G69" s="124"/>
      <c r="H69" s="124"/>
      <c r="I69" s="124"/>
      <c r="J69" s="124"/>
      <c r="K69" s="40"/>
    </row>
    <row r="70" spans="2:11" ht="14.1" customHeight="1" thickBot="1" x14ac:dyDescent="0.3">
      <c r="B70" s="71" t="s">
        <v>924</v>
      </c>
      <c r="C70" s="106"/>
      <c r="D70" s="1435" t="s">
        <v>925</v>
      </c>
      <c r="E70" s="1436"/>
      <c r="F70" s="1436"/>
      <c r="G70" s="1436"/>
      <c r="H70" s="1436"/>
      <c r="I70" s="1436"/>
      <c r="J70" s="1436"/>
      <c r="K70" s="1437"/>
    </row>
    <row r="71" spans="2:11" ht="39" customHeight="1" thickBot="1" x14ac:dyDescent="0.3">
      <c r="B71" s="71" t="s">
        <v>926</v>
      </c>
      <c r="C71" s="106"/>
      <c r="D71" s="1435" t="s">
        <v>927</v>
      </c>
      <c r="E71" s="1436"/>
      <c r="F71" s="1436"/>
      <c r="G71" s="1436"/>
      <c r="H71" s="1436"/>
      <c r="I71" s="1436"/>
      <c r="J71" s="1436"/>
      <c r="K71" s="1437"/>
    </row>
    <row r="72" spans="2:11" ht="15.75" thickBot="1" x14ac:dyDescent="0.3">
      <c r="B72" s="1"/>
      <c r="C72" s="75"/>
      <c r="D72" s="5"/>
      <c r="E72" s="5"/>
      <c r="F72" s="5"/>
      <c r="G72" s="5"/>
      <c r="H72" s="5"/>
      <c r="I72" s="5"/>
      <c r="J72" s="5"/>
      <c r="K72" s="5"/>
    </row>
    <row r="73" spans="2:11" ht="24" customHeight="1" thickBot="1" x14ac:dyDescent="0.3">
      <c r="B73" s="121" t="s">
        <v>928</v>
      </c>
      <c r="C73" s="122"/>
      <c r="D73" s="122"/>
      <c r="E73" s="123"/>
      <c r="F73" s="5"/>
      <c r="G73" s="5"/>
      <c r="H73" s="5"/>
      <c r="I73" s="5"/>
      <c r="J73" s="5"/>
      <c r="K73" s="5"/>
    </row>
    <row r="74" spans="2:11" ht="15.75" thickBot="1" x14ac:dyDescent="0.3">
      <c r="B74" s="1423">
        <v>1</v>
      </c>
      <c r="C74" s="93"/>
      <c r="D74" s="47" t="s">
        <v>929</v>
      </c>
      <c r="E74" s="160" t="s">
        <v>2093</v>
      </c>
      <c r="F74" s="5"/>
      <c r="G74" s="5"/>
      <c r="H74" s="5"/>
      <c r="I74" s="5"/>
      <c r="J74" s="5"/>
      <c r="K74" s="5"/>
    </row>
    <row r="75" spans="2:11" ht="15.75" thickBot="1" x14ac:dyDescent="0.3">
      <c r="B75" s="1424"/>
      <c r="C75" s="93"/>
      <c r="D75" s="40" t="s">
        <v>7</v>
      </c>
      <c r="E75" s="160" t="s">
        <v>2098</v>
      </c>
      <c r="F75" s="5"/>
      <c r="G75" s="5"/>
      <c r="H75" s="5"/>
      <c r="I75" s="5"/>
      <c r="J75" s="5"/>
      <c r="K75" s="5"/>
    </row>
    <row r="76" spans="2:11" ht="15.75" thickBot="1" x14ac:dyDescent="0.3">
      <c r="B76" s="1424"/>
      <c r="C76" s="93"/>
      <c r="D76" s="40" t="s">
        <v>930</v>
      </c>
      <c r="E76" s="160" t="s">
        <v>2099</v>
      </c>
      <c r="F76" s="5"/>
      <c r="G76" s="5"/>
      <c r="H76" s="5"/>
      <c r="I76" s="5"/>
      <c r="J76" s="5"/>
      <c r="K76" s="5"/>
    </row>
    <row r="77" spans="2:11" ht="15.75" thickBot="1" x14ac:dyDescent="0.3">
      <c r="B77" s="1424"/>
      <c r="C77" s="93"/>
      <c r="D77" s="40" t="s">
        <v>9</v>
      </c>
      <c r="E77" s="160" t="s">
        <v>2095</v>
      </c>
      <c r="F77" s="5"/>
      <c r="G77" s="5"/>
      <c r="H77" s="5"/>
      <c r="I77" s="5"/>
      <c r="J77" s="5"/>
      <c r="K77" s="5"/>
    </row>
    <row r="78" spans="2:11" ht="15.75" thickBot="1" x14ac:dyDescent="0.3">
      <c r="B78" s="1424"/>
      <c r="C78" s="93"/>
      <c r="D78" s="40" t="s">
        <v>11</v>
      </c>
      <c r="E78" s="569" t="s">
        <v>2100</v>
      </c>
      <c r="F78" s="5"/>
      <c r="G78" s="5"/>
      <c r="H78" s="5"/>
      <c r="I78" s="5"/>
      <c r="J78" s="5"/>
      <c r="K78" s="5"/>
    </row>
    <row r="79" spans="2:11" ht="15.75" thickBot="1" x14ac:dyDescent="0.3">
      <c r="B79" s="1424"/>
      <c r="C79" s="93"/>
      <c r="D79" s="40" t="s">
        <v>13</v>
      </c>
      <c r="E79" s="160">
        <v>6695278</v>
      </c>
      <c r="F79" s="5"/>
      <c r="G79" s="5"/>
      <c r="H79" s="5"/>
      <c r="I79" s="5"/>
      <c r="J79" s="5"/>
      <c r="K79" s="5"/>
    </row>
    <row r="80" spans="2:11" ht="15.75" thickBot="1" x14ac:dyDescent="0.3">
      <c r="B80" s="1425"/>
      <c r="C80" s="2"/>
      <c r="D80" s="40" t="s">
        <v>931</v>
      </c>
      <c r="E80" s="160" t="s">
        <v>2097</v>
      </c>
      <c r="F80" s="5"/>
      <c r="G80" s="5"/>
      <c r="H80" s="5"/>
      <c r="I80" s="5"/>
      <c r="J80" s="5"/>
      <c r="K80" s="5"/>
    </row>
    <row r="81" spans="2:11" ht="15.75" thickBot="1" x14ac:dyDescent="0.3">
      <c r="B81" s="1"/>
      <c r="C81" s="75"/>
      <c r="D81" s="5"/>
      <c r="E81" s="5"/>
      <c r="F81" s="5"/>
      <c r="G81" s="5"/>
      <c r="H81" s="5"/>
      <c r="I81" s="5"/>
      <c r="J81" s="5"/>
      <c r="K81" s="5"/>
    </row>
    <row r="82" spans="2:11" ht="15" customHeight="1" thickBot="1" x14ac:dyDescent="0.3">
      <c r="B82" s="1426" t="s">
        <v>932</v>
      </c>
      <c r="C82" s="1427"/>
      <c r="D82" s="1427"/>
      <c r="E82" s="1428"/>
      <c r="F82" s="5"/>
      <c r="G82" s="5"/>
      <c r="H82" s="5"/>
      <c r="I82" s="5"/>
      <c r="J82" s="5"/>
      <c r="K82" s="5"/>
    </row>
    <row r="83" spans="2:11" ht="15.75" thickBot="1" x14ac:dyDescent="0.3">
      <c r="B83" s="1423">
        <v>1</v>
      </c>
      <c r="C83" s="93"/>
      <c r="D83" s="47" t="s">
        <v>929</v>
      </c>
      <c r="E83" s="34" t="s">
        <v>933</v>
      </c>
      <c r="F83" s="5"/>
      <c r="G83" s="5"/>
      <c r="H83" s="5"/>
      <c r="I83" s="5"/>
      <c r="J83" s="5"/>
      <c r="K83" s="5"/>
    </row>
    <row r="84" spans="2:11" ht="15.75" thickBot="1" x14ac:dyDescent="0.3">
      <c r="B84" s="1424"/>
      <c r="C84" s="93"/>
      <c r="D84" s="40" t="s">
        <v>7</v>
      </c>
      <c r="E84" s="34" t="s">
        <v>934</v>
      </c>
      <c r="F84" s="5"/>
      <c r="G84" s="5"/>
      <c r="H84" s="5"/>
      <c r="I84" s="5"/>
      <c r="J84" s="5"/>
      <c r="K84" s="5"/>
    </row>
    <row r="85" spans="2:11" ht="15.75" thickBot="1" x14ac:dyDescent="0.3">
      <c r="B85" s="1424"/>
      <c r="C85" s="93"/>
      <c r="D85" s="40" t="s">
        <v>930</v>
      </c>
      <c r="E85" s="165"/>
      <c r="F85" s="5"/>
      <c r="G85" s="5"/>
      <c r="H85" s="5"/>
      <c r="I85" s="5"/>
      <c r="J85" s="5"/>
      <c r="K85" s="5"/>
    </row>
    <row r="86" spans="2:11" ht="15.75" thickBot="1" x14ac:dyDescent="0.3">
      <c r="B86" s="1424"/>
      <c r="C86" s="93"/>
      <c r="D86" s="40" t="s">
        <v>9</v>
      </c>
      <c r="E86" s="165"/>
      <c r="F86" s="5"/>
      <c r="G86" s="5"/>
      <c r="H86" s="5"/>
      <c r="I86" s="5"/>
      <c r="J86" s="5"/>
      <c r="K86" s="5"/>
    </row>
    <row r="87" spans="2:11" ht="15.75" thickBot="1" x14ac:dyDescent="0.3">
      <c r="B87" s="1424"/>
      <c r="C87" s="93"/>
      <c r="D87" s="40" t="s">
        <v>11</v>
      </c>
      <c r="E87" s="165"/>
      <c r="F87" s="5"/>
      <c r="G87" s="5"/>
      <c r="H87" s="5"/>
      <c r="I87" s="5"/>
      <c r="J87" s="5"/>
      <c r="K87" s="5"/>
    </row>
    <row r="88" spans="2:11" ht="15.75" thickBot="1" x14ac:dyDescent="0.3">
      <c r="B88" s="1424"/>
      <c r="C88" s="93"/>
      <c r="D88" s="40" t="s">
        <v>13</v>
      </c>
      <c r="E88" s="165"/>
      <c r="F88" s="5"/>
      <c r="G88" s="5"/>
      <c r="H88" s="5"/>
      <c r="I88" s="5"/>
      <c r="J88" s="5"/>
      <c r="K88" s="5"/>
    </row>
    <row r="89" spans="2:11" ht="15.75" thickBot="1" x14ac:dyDescent="0.3">
      <c r="B89" s="1425"/>
      <c r="C89" s="2"/>
      <c r="D89" s="40" t="s">
        <v>931</v>
      </c>
      <c r="E89" s="165"/>
      <c r="F89" s="5"/>
      <c r="G89" s="5"/>
      <c r="H89" s="5"/>
      <c r="I89" s="5"/>
      <c r="J89" s="5"/>
      <c r="K89" s="5"/>
    </row>
    <row r="90" spans="2:11" ht="15.75" thickBot="1" x14ac:dyDescent="0.3">
      <c r="B90" s="1"/>
      <c r="C90" s="75"/>
      <c r="D90" s="5"/>
      <c r="E90" s="5"/>
      <c r="F90" s="5"/>
      <c r="G90" s="5"/>
      <c r="H90" s="5"/>
      <c r="I90" s="5"/>
      <c r="J90" s="5"/>
      <c r="K90" s="5"/>
    </row>
    <row r="91" spans="2:11" ht="15" customHeight="1" thickBot="1" x14ac:dyDescent="0.3">
      <c r="B91" s="118" t="s">
        <v>935</v>
      </c>
      <c r="C91" s="119"/>
      <c r="D91" s="119"/>
      <c r="E91" s="264"/>
      <c r="G91" s="5"/>
      <c r="H91" s="5"/>
      <c r="I91" s="5"/>
      <c r="J91" s="5"/>
      <c r="K91" s="5"/>
    </row>
    <row r="92" spans="2:11" ht="24.75" thickBot="1" x14ac:dyDescent="0.3">
      <c r="B92" s="46" t="s">
        <v>936</v>
      </c>
      <c r="C92" s="40" t="s">
        <v>937</v>
      </c>
      <c r="D92" s="124" t="s">
        <v>938</v>
      </c>
      <c r="E92" s="251" t="s">
        <v>939</v>
      </c>
      <c r="F92" s="5"/>
      <c r="G92" s="5"/>
      <c r="H92" s="5"/>
      <c r="I92" s="5"/>
      <c r="J92" s="5"/>
    </row>
    <row r="93" spans="2:11" ht="96.75" thickBot="1" x14ac:dyDescent="0.3">
      <c r="B93" s="48">
        <v>42401</v>
      </c>
      <c r="C93" s="40">
        <v>1</v>
      </c>
      <c r="D93" s="67" t="s">
        <v>940</v>
      </c>
      <c r="E93" s="40"/>
      <c r="F93" s="5"/>
      <c r="G93" s="5"/>
      <c r="H93" s="5"/>
      <c r="I93" s="5"/>
      <c r="J93" s="5"/>
    </row>
    <row r="94" spans="2:11" ht="15.75" thickBot="1" x14ac:dyDescent="0.3">
      <c r="B94" s="3"/>
      <c r="C94" s="94"/>
      <c r="D94" s="5"/>
      <c r="E94" s="5"/>
      <c r="F94" s="5"/>
      <c r="G94" s="5"/>
      <c r="H94" s="5"/>
      <c r="I94" s="5"/>
      <c r="J94" s="5"/>
      <c r="K94" s="5"/>
    </row>
    <row r="95" spans="2:11" x14ac:dyDescent="0.25">
      <c r="B95" s="128" t="s">
        <v>846</v>
      </c>
      <c r="C95" s="95"/>
      <c r="D95" s="5"/>
      <c r="E95" s="5"/>
      <c r="F95" s="5"/>
      <c r="G95" s="5"/>
      <c r="H95" s="5"/>
      <c r="I95" s="5"/>
      <c r="J95" s="5"/>
      <c r="K95" s="5"/>
    </row>
    <row r="96" spans="2:11" x14ac:dyDescent="0.25">
      <c r="B96" s="1429"/>
      <c r="C96" s="1429"/>
      <c r="D96" s="1429"/>
      <c r="E96" s="1429"/>
      <c r="F96" s="1429"/>
      <c r="G96" s="5"/>
      <c r="H96" s="5"/>
      <c r="I96" s="5"/>
      <c r="J96" s="5"/>
      <c r="K96" s="5"/>
    </row>
    <row r="97" spans="2:11" x14ac:dyDescent="0.25">
      <c r="B97" s="1429"/>
      <c r="C97" s="1429"/>
      <c r="D97" s="1429"/>
      <c r="E97" s="1429"/>
      <c r="F97" s="1429"/>
      <c r="G97" s="5"/>
      <c r="H97" s="5"/>
      <c r="I97" s="5"/>
      <c r="J97" s="5"/>
      <c r="K97" s="5"/>
    </row>
    <row r="98" spans="2:11" x14ac:dyDescent="0.25">
      <c r="B98" s="1"/>
      <c r="C98" s="75"/>
      <c r="D98" s="5"/>
      <c r="E98" s="5"/>
      <c r="F98" s="5"/>
      <c r="G98" s="5"/>
      <c r="H98" s="5"/>
      <c r="I98" s="5"/>
      <c r="J98" s="5"/>
      <c r="K98" s="5"/>
    </row>
    <row r="99" spans="2:11" ht="15.75" thickBot="1" x14ac:dyDescent="0.3">
      <c r="B99" s="37"/>
      <c r="C99" s="87"/>
      <c r="D99" s="5"/>
      <c r="E99" s="5"/>
      <c r="F99" s="5"/>
      <c r="G99" s="5"/>
      <c r="H99" s="5"/>
      <c r="I99" s="5"/>
      <c r="J99" s="5"/>
      <c r="K99" s="5"/>
    </row>
    <row r="100" spans="2:11" ht="15.75" thickBot="1" x14ac:dyDescent="0.3">
      <c r="B100" s="265" t="s">
        <v>941</v>
      </c>
      <c r="C100" s="96"/>
      <c r="D100" s="5"/>
      <c r="E100" s="5"/>
      <c r="F100" s="5"/>
      <c r="G100" s="5"/>
      <c r="H100" s="5"/>
      <c r="I100" s="5"/>
      <c r="J100" s="5"/>
      <c r="K100" s="5"/>
    </row>
    <row r="101" spans="2:11" ht="15.75" thickBot="1" x14ac:dyDescent="0.3">
      <c r="B101" s="37"/>
      <c r="C101" s="87"/>
      <c r="D101" s="5"/>
      <c r="E101" s="5"/>
      <c r="F101" s="5"/>
      <c r="G101" s="5"/>
      <c r="H101" s="5"/>
      <c r="I101" s="5"/>
      <c r="J101" s="5"/>
      <c r="K101" s="5"/>
    </row>
    <row r="102" spans="2:11" ht="15.75" thickBot="1" x14ac:dyDescent="0.3">
      <c r="B102" s="51" t="s">
        <v>942</v>
      </c>
      <c r="C102" s="231"/>
      <c r="D102" s="1435" t="s">
        <v>943</v>
      </c>
      <c r="E102" s="1436"/>
      <c r="F102" s="1437"/>
      <c r="G102" s="5"/>
      <c r="H102" s="5"/>
      <c r="I102" s="5"/>
      <c r="J102" s="5"/>
      <c r="K102" s="5"/>
    </row>
    <row r="103" spans="2:11" x14ac:dyDescent="0.25">
      <c r="B103" s="1423" t="s">
        <v>944</v>
      </c>
      <c r="C103" s="88"/>
      <c r="D103" s="1420" t="s">
        <v>945</v>
      </c>
      <c r="E103" s="1421"/>
      <c r="F103" s="1422"/>
      <c r="G103" s="5"/>
      <c r="H103" s="5"/>
      <c r="I103" s="5"/>
      <c r="J103" s="5"/>
      <c r="K103" s="5"/>
    </row>
    <row r="104" spans="2:11" x14ac:dyDescent="0.25">
      <c r="B104" s="1424"/>
      <c r="C104" s="91"/>
      <c r="D104" s="1414" t="s">
        <v>946</v>
      </c>
      <c r="E104" s="1415"/>
      <c r="F104" s="1416"/>
      <c r="G104" s="5"/>
      <c r="H104" s="5"/>
      <c r="I104" s="5"/>
      <c r="J104" s="5"/>
      <c r="K104" s="5"/>
    </row>
    <row r="105" spans="2:11" x14ac:dyDescent="0.25">
      <c r="B105" s="1424"/>
      <c r="C105" s="91"/>
      <c r="D105" s="1414" t="s">
        <v>947</v>
      </c>
      <c r="E105" s="1415"/>
      <c r="F105" s="1416"/>
      <c r="G105" s="5"/>
      <c r="H105" s="5"/>
      <c r="I105" s="5"/>
      <c r="J105" s="5"/>
      <c r="K105" s="5"/>
    </row>
    <row r="106" spans="2:11" x14ac:dyDescent="0.25">
      <c r="B106" s="1424"/>
      <c r="C106" s="91"/>
      <c r="D106" s="1411" t="s">
        <v>948</v>
      </c>
      <c r="E106" s="1412"/>
      <c r="F106" s="1413"/>
      <c r="G106" s="5"/>
      <c r="H106" s="5"/>
      <c r="I106" s="5"/>
      <c r="J106" s="5"/>
      <c r="K106" s="5"/>
    </row>
    <row r="107" spans="2:11" x14ac:dyDescent="0.25">
      <c r="B107" s="1424"/>
      <c r="C107" s="91"/>
      <c r="D107" s="1414" t="s">
        <v>949</v>
      </c>
      <c r="E107" s="1415"/>
      <c r="F107" s="1416"/>
      <c r="G107" s="5"/>
      <c r="H107" s="5"/>
      <c r="I107" s="5"/>
      <c r="J107" s="5"/>
      <c r="K107" s="5"/>
    </row>
    <row r="108" spans="2:11" x14ac:dyDescent="0.25">
      <c r="B108" s="1424"/>
      <c r="C108" s="91"/>
      <c r="D108" s="1414" t="s">
        <v>950</v>
      </c>
      <c r="E108" s="1415"/>
      <c r="F108" s="1416"/>
      <c r="G108" s="5"/>
      <c r="H108" s="5"/>
      <c r="I108" s="5"/>
      <c r="J108" s="5"/>
      <c r="K108" s="5"/>
    </row>
    <row r="109" spans="2:11" x14ac:dyDescent="0.25">
      <c r="B109" s="1424"/>
      <c r="C109" s="91"/>
      <c r="D109" s="1414" t="s">
        <v>951</v>
      </c>
      <c r="E109" s="1415"/>
      <c r="F109" s="1416"/>
      <c r="G109" s="5"/>
      <c r="H109" s="5"/>
      <c r="I109" s="5"/>
      <c r="J109" s="5"/>
      <c r="K109" s="5"/>
    </row>
    <row r="110" spans="2:11" x14ac:dyDescent="0.25">
      <c r="B110" s="1424"/>
      <c r="C110" s="91"/>
      <c r="D110" s="1414" t="s">
        <v>952</v>
      </c>
      <c r="E110" s="1415"/>
      <c r="F110" s="1416"/>
      <c r="G110" s="5"/>
      <c r="H110" s="5"/>
      <c r="I110" s="5"/>
      <c r="J110" s="5"/>
      <c r="K110" s="5"/>
    </row>
    <row r="111" spans="2:11" x14ac:dyDescent="0.25">
      <c r="B111" s="1424"/>
      <c r="C111" s="91"/>
      <c r="D111" s="1411" t="s">
        <v>953</v>
      </c>
      <c r="E111" s="1412"/>
      <c r="F111" s="1413"/>
      <c r="G111" s="5"/>
      <c r="H111" s="5"/>
      <c r="I111" s="5"/>
      <c r="J111" s="5"/>
      <c r="K111" s="5"/>
    </row>
    <row r="112" spans="2:11" x14ac:dyDescent="0.25">
      <c r="B112" s="1424"/>
      <c r="C112" s="91"/>
      <c r="D112" s="1414" t="s">
        <v>954</v>
      </c>
      <c r="E112" s="1415"/>
      <c r="F112" s="1416"/>
      <c r="G112" s="5"/>
      <c r="H112" s="5"/>
      <c r="I112" s="5"/>
      <c r="J112" s="5"/>
      <c r="K112" s="5"/>
    </row>
    <row r="113" spans="2:11" x14ac:dyDescent="0.25">
      <c r="B113" s="1424"/>
      <c r="C113" s="91"/>
      <c r="D113" s="1414" t="s">
        <v>955</v>
      </c>
      <c r="E113" s="1415"/>
      <c r="F113" s="1416"/>
      <c r="G113" s="5"/>
      <c r="H113" s="5"/>
      <c r="I113" s="5"/>
      <c r="J113" s="5"/>
      <c r="K113" s="5"/>
    </row>
    <row r="114" spans="2:11" ht="15.75" thickBot="1" x14ac:dyDescent="0.3">
      <c r="B114" s="1425"/>
      <c r="C114" s="92"/>
      <c r="D114" s="1438" t="s">
        <v>956</v>
      </c>
      <c r="E114" s="1439"/>
      <c r="F114" s="1440"/>
      <c r="G114" s="5"/>
      <c r="H114" s="5"/>
      <c r="I114" s="5"/>
      <c r="J114" s="5"/>
      <c r="K114" s="5"/>
    </row>
    <row r="115" spans="2:11" ht="24.75" thickBot="1" x14ac:dyDescent="0.3">
      <c r="B115" s="46" t="s">
        <v>957</v>
      </c>
      <c r="C115" s="92"/>
      <c r="D115" s="1435"/>
      <c r="E115" s="1436"/>
      <c r="F115" s="1437"/>
      <c r="G115" s="5"/>
      <c r="H115" s="5"/>
      <c r="I115" s="5"/>
      <c r="J115" s="5"/>
      <c r="K115" s="5"/>
    </row>
    <row r="116" spans="2:11" x14ac:dyDescent="0.25">
      <c r="B116" s="1423" t="s">
        <v>958</v>
      </c>
      <c r="C116" s="88"/>
      <c r="D116" s="1408" t="s">
        <v>959</v>
      </c>
      <c r="E116" s="1409"/>
      <c r="F116" s="1410"/>
      <c r="G116" s="5"/>
      <c r="H116" s="5"/>
      <c r="I116" s="5"/>
      <c r="J116" s="5"/>
      <c r="K116" s="5"/>
    </row>
    <row r="117" spans="2:11" x14ac:dyDescent="0.25">
      <c r="B117" s="1424"/>
      <c r="C117" s="91"/>
      <c r="D117" s="1411" t="s">
        <v>960</v>
      </c>
      <c r="E117" s="1412"/>
      <c r="F117" s="1413"/>
      <c r="G117" s="5"/>
      <c r="H117" s="5"/>
      <c r="I117" s="5"/>
      <c r="J117" s="5"/>
      <c r="K117" s="5"/>
    </row>
    <row r="118" spans="2:11" x14ac:dyDescent="0.25">
      <c r="B118" s="1424"/>
      <c r="C118" s="91"/>
      <c r="D118" s="1414" t="s">
        <v>961</v>
      </c>
      <c r="E118" s="1415"/>
      <c r="F118" s="1416"/>
      <c r="G118" s="5"/>
      <c r="H118" s="5"/>
      <c r="I118" s="5"/>
      <c r="J118" s="5"/>
      <c r="K118" s="5"/>
    </row>
    <row r="119" spans="2:11" x14ac:dyDescent="0.25">
      <c r="B119" s="1424"/>
      <c r="C119" s="91"/>
      <c r="D119" s="1414" t="s">
        <v>962</v>
      </c>
      <c r="E119" s="1415"/>
      <c r="F119" s="1416"/>
      <c r="G119" s="5"/>
      <c r="H119" s="5"/>
      <c r="I119" s="5"/>
      <c r="J119" s="5"/>
      <c r="K119" s="5"/>
    </row>
    <row r="120" spans="2:11" x14ac:dyDescent="0.25">
      <c r="B120" s="1424"/>
      <c r="C120" s="91"/>
      <c r="D120" s="1414" t="s">
        <v>963</v>
      </c>
      <c r="E120" s="1415"/>
      <c r="F120" s="1416"/>
      <c r="G120" s="5"/>
      <c r="H120" s="5"/>
      <c r="I120" s="5"/>
      <c r="J120" s="5"/>
      <c r="K120" s="5"/>
    </row>
    <row r="121" spans="2:11" x14ac:dyDescent="0.25">
      <c r="B121" s="1424"/>
      <c r="C121" s="91"/>
      <c r="D121" s="1414" t="s">
        <v>964</v>
      </c>
      <c r="E121" s="1415"/>
      <c r="F121" s="1416"/>
      <c r="G121" s="5"/>
      <c r="H121" s="5"/>
      <c r="I121" s="5"/>
      <c r="J121" s="5"/>
      <c r="K121" s="5"/>
    </row>
    <row r="122" spans="2:11" x14ac:dyDescent="0.25">
      <c r="B122" s="1424"/>
      <c r="C122" s="91"/>
      <c r="D122" s="1414" t="s">
        <v>965</v>
      </c>
      <c r="E122" s="1415"/>
      <c r="F122" s="1416"/>
      <c r="G122" s="5"/>
      <c r="H122" s="5"/>
      <c r="I122" s="5"/>
      <c r="J122" s="5"/>
      <c r="K122" s="5"/>
    </row>
    <row r="123" spans="2:11" x14ac:dyDescent="0.25">
      <c r="B123" s="1424"/>
      <c r="C123" s="91"/>
      <c r="D123" s="1414" t="s">
        <v>966</v>
      </c>
      <c r="E123" s="1415"/>
      <c r="F123" s="1416"/>
      <c r="G123" s="5"/>
      <c r="H123" s="5"/>
      <c r="I123" s="5"/>
      <c r="J123" s="5"/>
      <c r="K123" s="5"/>
    </row>
    <row r="124" spans="2:11" x14ac:dyDescent="0.25">
      <c r="B124" s="1424"/>
      <c r="C124" s="91"/>
      <c r="D124" s="1411" t="s">
        <v>967</v>
      </c>
      <c r="E124" s="1412"/>
      <c r="F124" s="1413"/>
      <c r="G124" s="5"/>
      <c r="H124" s="5"/>
      <c r="I124" s="5"/>
      <c r="J124" s="5"/>
      <c r="K124" s="5"/>
    </row>
    <row r="125" spans="2:11" x14ac:dyDescent="0.25">
      <c r="B125" s="1424"/>
      <c r="C125" s="91"/>
      <c r="D125" s="1414" t="s">
        <v>968</v>
      </c>
      <c r="E125" s="1415"/>
      <c r="F125" s="1416"/>
      <c r="G125" s="5"/>
      <c r="H125" s="5"/>
      <c r="I125" s="5"/>
      <c r="J125" s="5"/>
      <c r="K125" s="5"/>
    </row>
    <row r="126" spans="2:11" x14ac:dyDescent="0.25">
      <c r="B126" s="1424"/>
      <c r="C126" s="91"/>
      <c r="D126" s="1414" t="s">
        <v>969</v>
      </c>
      <c r="E126" s="1415"/>
      <c r="F126" s="1416"/>
      <c r="G126" s="5"/>
      <c r="H126" s="5"/>
      <c r="I126" s="5"/>
      <c r="J126" s="5"/>
      <c r="K126" s="5"/>
    </row>
    <row r="127" spans="2:11" x14ac:dyDescent="0.25">
      <c r="B127" s="1424"/>
      <c r="C127" s="91"/>
      <c r="D127" s="1414" t="s">
        <v>970</v>
      </c>
      <c r="E127" s="1415"/>
      <c r="F127" s="1416"/>
      <c r="G127" s="5"/>
      <c r="H127" s="5"/>
      <c r="I127" s="5"/>
      <c r="J127" s="5"/>
      <c r="K127" s="5"/>
    </row>
    <row r="128" spans="2:11" x14ac:dyDescent="0.25">
      <c r="B128" s="1424"/>
      <c r="C128" s="91"/>
      <c r="D128" s="1414" t="s">
        <v>971</v>
      </c>
      <c r="E128" s="1415"/>
      <c r="F128" s="1416"/>
      <c r="G128" s="5"/>
      <c r="H128" s="5"/>
      <c r="I128" s="5"/>
      <c r="J128" s="5"/>
      <c r="K128" s="5"/>
    </row>
    <row r="129" spans="2:11" x14ac:dyDescent="0.25">
      <c r="B129" s="1424"/>
      <c r="C129" s="91"/>
      <c r="D129" s="1411" t="s">
        <v>972</v>
      </c>
      <c r="E129" s="1412"/>
      <c r="F129" s="1413"/>
      <c r="G129" s="5"/>
      <c r="H129" s="5"/>
      <c r="I129" s="5"/>
      <c r="J129" s="5"/>
      <c r="K129" s="5"/>
    </row>
    <row r="130" spans="2:11" x14ac:dyDescent="0.25">
      <c r="B130" s="1424"/>
      <c r="C130" s="91"/>
      <c r="D130" s="1414" t="s">
        <v>973</v>
      </c>
      <c r="E130" s="1415"/>
      <c r="F130" s="1416"/>
      <c r="G130" s="5"/>
      <c r="H130" s="5"/>
      <c r="I130" s="5"/>
      <c r="J130" s="5"/>
      <c r="K130" s="5"/>
    </row>
    <row r="131" spans="2:11" x14ac:dyDescent="0.25">
      <c r="B131" s="1424"/>
      <c r="C131" s="91"/>
      <c r="D131" s="1414" t="s">
        <v>969</v>
      </c>
      <c r="E131" s="1415"/>
      <c r="F131" s="1416"/>
      <c r="G131" s="5"/>
      <c r="H131" s="5"/>
      <c r="I131" s="5"/>
      <c r="J131" s="5"/>
      <c r="K131" s="5"/>
    </row>
    <row r="132" spans="2:11" x14ac:dyDescent="0.25">
      <c r="B132" s="1424"/>
      <c r="C132" s="91"/>
      <c r="D132" s="1414" t="s">
        <v>970</v>
      </c>
      <c r="E132" s="1415"/>
      <c r="F132" s="1416"/>
      <c r="G132" s="5"/>
      <c r="H132" s="5"/>
      <c r="I132" s="5"/>
      <c r="J132" s="5"/>
      <c r="K132" s="5"/>
    </row>
    <row r="133" spans="2:11" ht="15.75" thickBot="1" x14ac:dyDescent="0.3">
      <c r="B133" s="1425"/>
      <c r="C133" s="92"/>
      <c r="D133" s="1441" t="s">
        <v>974</v>
      </c>
      <c r="E133" s="1442"/>
      <c r="F133" s="1443"/>
      <c r="G133" s="5"/>
      <c r="H133" s="5"/>
      <c r="I133" s="5"/>
      <c r="J133" s="5"/>
      <c r="K133" s="5"/>
    </row>
    <row r="134" spans="2:11" x14ac:dyDescent="0.25">
      <c r="B134" s="1423" t="s">
        <v>975</v>
      </c>
      <c r="C134" s="88"/>
      <c r="D134" s="1408"/>
      <c r="E134" s="1409"/>
      <c r="F134" s="1410"/>
      <c r="G134" s="5"/>
      <c r="H134" s="5"/>
      <c r="I134" s="5"/>
      <c r="J134" s="5"/>
      <c r="K134" s="5"/>
    </row>
    <row r="135" spans="2:11" x14ac:dyDescent="0.25">
      <c r="B135" s="1424"/>
      <c r="C135" s="91"/>
      <c r="D135" s="1444"/>
      <c r="E135" s="1445"/>
      <c r="F135" s="1446"/>
      <c r="G135" s="5"/>
      <c r="H135" s="5"/>
      <c r="I135" s="5"/>
      <c r="J135" s="5"/>
      <c r="K135" s="5"/>
    </row>
    <row r="136" spans="2:11" x14ac:dyDescent="0.25">
      <c r="B136" s="1424"/>
      <c r="C136" s="91"/>
      <c r="D136" s="1414" t="s">
        <v>976</v>
      </c>
      <c r="E136" s="1415"/>
      <c r="F136" s="1416"/>
      <c r="G136" s="5"/>
      <c r="H136" s="5"/>
      <c r="I136" s="5"/>
      <c r="J136" s="5"/>
      <c r="K136" s="5"/>
    </row>
    <row r="137" spans="2:11" x14ac:dyDescent="0.25">
      <c r="B137" s="1424"/>
      <c r="C137" s="91"/>
      <c r="D137" s="1414" t="s">
        <v>977</v>
      </c>
      <c r="E137" s="1415"/>
      <c r="F137" s="1416"/>
      <c r="G137" s="5"/>
      <c r="H137" s="5"/>
      <c r="I137" s="5"/>
      <c r="J137" s="5"/>
      <c r="K137" s="5"/>
    </row>
    <row r="138" spans="2:11" x14ac:dyDescent="0.25">
      <c r="B138" s="1424"/>
      <c r="C138" s="91"/>
      <c r="D138" s="1414" t="s">
        <v>978</v>
      </c>
      <c r="E138" s="1415"/>
      <c r="F138" s="1416"/>
      <c r="G138" s="5"/>
      <c r="H138" s="5"/>
      <c r="I138" s="5"/>
      <c r="J138" s="5"/>
      <c r="K138" s="5"/>
    </row>
    <row r="139" spans="2:11" x14ac:dyDescent="0.25">
      <c r="B139" s="1424"/>
      <c r="C139" s="91"/>
      <c r="D139" s="1414" t="s">
        <v>979</v>
      </c>
      <c r="E139" s="1415"/>
      <c r="F139" s="1416"/>
      <c r="G139" s="5"/>
      <c r="H139" s="5"/>
      <c r="I139" s="5"/>
      <c r="J139" s="5"/>
      <c r="K139" s="5"/>
    </row>
    <row r="140" spans="2:11" x14ac:dyDescent="0.25">
      <c r="B140" s="1424"/>
      <c r="C140" s="91"/>
      <c r="D140" s="1414" t="s">
        <v>980</v>
      </c>
      <c r="E140" s="1415"/>
      <c r="F140" s="1416"/>
      <c r="G140" s="5"/>
      <c r="H140" s="5"/>
      <c r="I140" s="5"/>
      <c r="J140" s="5"/>
      <c r="K140" s="5"/>
    </row>
    <row r="141" spans="2:11" x14ac:dyDescent="0.25">
      <c r="B141" s="1424"/>
      <c r="C141" s="91"/>
      <c r="D141" s="1414" t="s">
        <v>981</v>
      </c>
      <c r="E141" s="1415"/>
      <c r="F141" s="1416"/>
      <c r="G141" s="5"/>
      <c r="H141" s="5"/>
      <c r="I141" s="5"/>
      <c r="J141" s="5"/>
      <c r="K141" s="5"/>
    </row>
    <row r="142" spans="2:11" x14ac:dyDescent="0.25">
      <c r="B142" s="1424"/>
      <c r="C142" s="91"/>
      <c r="D142" s="1414" t="s">
        <v>982</v>
      </c>
      <c r="E142" s="1415"/>
      <c r="F142" s="1416"/>
      <c r="G142" s="5"/>
      <c r="H142" s="5"/>
      <c r="I142" s="5"/>
      <c r="J142" s="5"/>
      <c r="K142" s="5"/>
    </row>
    <row r="143" spans="2:11" x14ac:dyDescent="0.25">
      <c r="B143" s="1424"/>
      <c r="C143" s="91"/>
      <c r="D143" s="1414" t="s">
        <v>983</v>
      </c>
      <c r="E143" s="1415"/>
      <c r="F143" s="1416"/>
      <c r="G143" s="5"/>
      <c r="H143" s="5"/>
      <c r="I143" s="5"/>
      <c r="J143" s="5"/>
      <c r="K143" s="5"/>
    </row>
    <row r="144" spans="2:11" x14ac:dyDescent="0.25">
      <c r="B144" s="1424"/>
      <c r="C144" s="91"/>
      <c r="D144" s="1414" t="s">
        <v>984</v>
      </c>
      <c r="E144" s="1415"/>
      <c r="F144" s="1416"/>
      <c r="G144" s="5"/>
      <c r="H144" s="5"/>
      <c r="I144" s="5"/>
      <c r="J144" s="5"/>
      <c r="K144" s="5"/>
    </row>
    <row r="145" spans="2:11" x14ac:dyDescent="0.25">
      <c r="B145" s="1424"/>
      <c r="C145" s="91"/>
      <c r="D145" s="1414" t="s">
        <v>985</v>
      </c>
      <c r="E145" s="1415"/>
      <c r="F145" s="1416"/>
      <c r="G145" s="5"/>
      <c r="H145" s="5"/>
      <c r="I145" s="5"/>
      <c r="J145" s="5"/>
      <c r="K145" s="5"/>
    </row>
    <row r="146" spans="2:11" x14ac:dyDescent="0.25">
      <c r="B146" s="1424"/>
      <c r="C146" s="91"/>
      <c r="D146" s="1414" t="s">
        <v>986</v>
      </c>
      <c r="E146" s="1415"/>
      <c r="F146" s="1416"/>
      <c r="G146" s="5"/>
      <c r="H146" s="5"/>
      <c r="I146" s="5"/>
      <c r="J146" s="5"/>
      <c r="K146" s="5"/>
    </row>
    <row r="147" spans="2:11" ht="15.75" thickBot="1" x14ac:dyDescent="0.3">
      <c r="B147" s="1424"/>
      <c r="C147" s="91"/>
      <c r="D147" s="1405" t="s">
        <v>987</v>
      </c>
      <c r="E147" s="1406"/>
      <c r="F147" s="1407"/>
      <c r="G147" s="5"/>
      <c r="H147" s="5"/>
      <c r="I147" s="5"/>
      <c r="J147" s="5"/>
      <c r="K147" s="5"/>
    </row>
    <row r="148" spans="2:11" ht="24.75" thickBot="1" x14ac:dyDescent="0.3">
      <c r="B148" s="1424"/>
      <c r="C148" s="93"/>
      <c r="D148" s="43" t="s">
        <v>988</v>
      </c>
      <c r="E148" s="43" t="s">
        <v>989</v>
      </c>
      <c r="F148" s="43" t="s">
        <v>990</v>
      </c>
      <c r="G148" s="5"/>
      <c r="H148" s="5"/>
      <c r="I148" s="5"/>
      <c r="J148" s="5"/>
      <c r="K148" s="5"/>
    </row>
    <row r="149" spans="2:11" ht="15.75" thickBot="1" x14ac:dyDescent="0.3">
      <c r="B149" s="1424"/>
      <c r="C149" s="93"/>
      <c r="D149" s="40" t="s">
        <v>991</v>
      </c>
      <c r="E149" s="266">
        <v>0.15</v>
      </c>
      <c r="F149" s="266">
        <v>0.15</v>
      </c>
      <c r="G149" s="5"/>
      <c r="H149" s="5"/>
      <c r="I149" s="5"/>
      <c r="J149" s="5"/>
      <c r="K149" s="5"/>
    </row>
    <row r="150" spans="2:11" ht="15.75" thickBot="1" x14ac:dyDescent="0.3">
      <c r="B150" s="1424"/>
      <c r="C150" s="93"/>
      <c r="D150" s="40" t="s">
        <v>992</v>
      </c>
      <c r="E150" s="266">
        <v>0.18</v>
      </c>
      <c r="F150" s="266">
        <v>0.33</v>
      </c>
      <c r="G150" s="5"/>
      <c r="H150" s="267"/>
      <c r="I150" s="5"/>
      <c r="J150" s="5"/>
      <c r="K150" s="5"/>
    </row>
    <row r="151" spans="2:11" ht="15.75" thickBot="1" x14ac:dyDescent="0.3">
      <c r="B151" s="1424"/>
      <c r="C151" s="93"/>
      <c r="D151" s="40" t="s">
        <v>993</v>
      </c>
      <c r="E151" s="266">
        <v>0.33</v>
      </c>
      <c r="F151" s="266">
        <v>0.66</v>
      </c>
      <c r="G151" s="5"/>
      <c r="H151" s="267"/>
      <c r="I151" s="5"/>
      <c r="J151" s="5"/>
      <c r="K151" s="5"/>
    </row>
    <row r="152" spans="2:11" ht="24.75" thickBot="1" x14ac:dyDescent="0.3">
      <c r="B152" s="1424"/>
      <c r="C152" s="93"/>
      <c r="D152" s="40" t="s">
        <v>994</v>
      </c>
      <c r="E152" s="266">
        <v>0.16</v>
      </c>
      <c r="F152" s="266">
        <v>0.82</v>
      </c>
      <c r="G152" s="5"/>
      <c r="H152" s="267"/>
      <c r="I152" s="5"/>
      <c r="J152" s="5"/>
      <c r="K152" s="5"/>
    </row>
    <row r="153" spans="2:11" ht="15.75" thickBot="1" x14ac:dyDescent="0.3">
      <c r="B153" s="1424"/>
      <c r="C153" s="93"/>
      <c r="D153" s="40" t="s">
        <v>995</v>
      </c>
      <c r="E153" s="266">
        <v>0.18</v>
      </c>
      <c r="F153" s="266">
        <v>1</v>
      </c>
      <c r="G153" s="5"/>
      <c r="H153" s="267"/>
      <c r="I153" s="5"/>
      <c r="J153" s="5"/>
      <c r="K153" s="5"/>
    </row>
    <row r="154" spans="2:11" x14ac:dyDescent="0.25">
      <c r="B154" s="1424"/>
      <c r="C154" s="91"/>
      <c r="D154" s="1420"/>
      <c r="E154" s="1421"/>
      <c r="F154" s="1422"/>
      <c r="G154" s="5"/>
      <c r="H154" s="5"/>
      <c r="I154" s="5"/>
      <c r="J154" s="5"/>
      <c r="K154" s="5"/>
    </row>
    <row r="155" spans="2:11" ht="15.75" thickBot="1" x14ac:dyDescent="0.3">
      <c r="B155" s="1424"/>
      <c r="C155" s="91"/>
      <c r="D155" s="1405" t="s">
        <v>967</v>
      </c>
      <c r="E155" s="1406"/>
      <c r="F155" s="1407"/>
      <c r="G155" s="5"/>
      <c r="H155" s="5"/>
      <c r="I155" s="5"/>
      <c r="J155" s="5"/>
      <c r="K155" s="5"/>
    </row>
    <row r="156" spans="2:11" ht="24.75" thickBot="1" x14ac:dyDescent="0.3">
      <c r="B156" s="1424"/>
      <c r="C156" s="93"/>
      <c r="D156" s="43" t="s">
        <v>988</v>
      </c>
      <c r="E156" s="43" t="s">
        <v>989</v>
      </c>
      <c r="F156" s="43" t="s">
        <v>990</v>
      </c>
      <c r="G156" s="5"/>
      <c r="H156" s="5"/>
      <c r="I156" s="5"/>
      <c r="J156" s="5"/>
      <c r="K156" s="5"/>
    </row>
    <row r="157" spans="2:11" ht="15.75" thickBot="1" x14ac:dyDescent="0.3">
      <c r="B157" s="1424"/>
      <c r="C157" s="93"/>
      <c r="D157" s="40" t="s">
        <v>996</v>
      </c>
      <c r="E157" s="266">
        <v>0.2</v>
      </c>
      <c r="F157" s="266">
        <v>0.2</v>
      </c>
      <c r="G157" s="5"/>
      <c r="H157" s="5"/>
      <c r="I157" s="5"/>
      <c r="J157" s="5"/>
      <c r="K157" s="5"/>
    </row>
    <row r="158" spans="2:11" ht="15.75" thickBot="1" x14ac:dyDescent="0.3">
      <c r="B158" s="1424"/>
      <c r="C158" s="93"/>
      <c r="D158" s="40" t="s">
        <v>997</v>
      </c>
      <c r="E158" s="266">
        <v>0.5</v>
      </c>
      <c r="F158" s="266">
        <v>0.7</v>
      </c>
      <c r="G158" s="5"/>
      <c r="H158" s="267"/>
      <c r="I158" s="5"/>
      <c r="J158" s="5"/>
      <c r="K158" s="5"/>
    </row>
    <row r="159" spans="2:11" ht="15.75" thickBot="1" x14ac:dyDescent="0.3">
      <c r="B159" s="1424"/>
      <c r="C159" s="93"/>
      <c r="D159" s="40" t="s">
        <v>998</v>
      </c>
      <c r="E159" s="266">
        <v>0.3</v>
      </c>
      <c r="F159" s="266">
        <v>1</v>
      </c>
      <c r="G159" s="5"/>
      <c r="H159" s="267"/>
      <c r="I159" s="5"/>
      <c r="J159" s="5"/>
      <c r="K159" s="5"/>
    </row>
    <row r="160" spans="2:11" x14ac:dyDescent="0.25">
      <c r="B160" s="1424"/>
      <c r="C160" s="91"/>
      <c r="D160" s="1408"/>
      <c r="E160" s="1409"/>
      <c r="F160" s="1410"/>
      <c r="G160" s="5"/>
      <c r="H160" s="267"/>
      <c r="I160" s="5"/>
      <c r="J160" s="5"/>
      <c r="K160" s="5"/>
    </row>
    <row r="161" spans="2:11" ht="15.75" thickBot="1" x14ac:dyDescent="0.3">
      <c r="B161" s="1424"/>
      <c r="C161" s="91"/>
      <c r="D161" s="1405" t="s">
        <v>999</v>
      </c>
      <c r="E161" s="1406"/>
      <c r="F161" s="1407"/>
      <c r="G161" s="5"/>
      <c r="H161" s="267"/>
      <c r="I161" s="5"/>
      <c r="J161" s="5"/>
      <c r="K161" s="5"/>
    </row>
    <row r="162" spans="2:11" ht="24.75" thickBot="1" x14ac:dyDescent="0.3">
      <c r="B162" s="1424"/>
      <c r="C162" s="93"/>
      <c r="D162" s="43" t="s">
        <v>988</v>
      </c>
      <c r="E162" s="43" t="s">
        <v>989</v>
      </c>
      <c r="F162" s="43" t="s">
        <v>990</v>
      </c>
      <c r="G162" s="5"/>
      <c r="H162" s="5"/>
      <c r="I162" s="5"/>
      <c r="J162" s="5"/>
      <c r="K162" s="5"/>
    </row>
    <row r="163" spans="2:11" ht="15.75" thickBot="1" x14ac:dyDescent="0.3">
      <c r="B163" s="1424"/>
      <c r="C163" s="93"/>
      <c r="D163" s="40" t="s">
        <v>1000</v>
      </c>
      <c r="E163" s="266">
        <v>0.2</v>
      </c>
      <c r="F163" s="266">
        <v>0.2</v>
      </c>
      <c r="G163" s="5"/>
      <c r="H163" s="267"/>
      <c r="I163" s="5"/>
      <c r="J163" s="5"/>
      <c r="K163" s="5"/>
    </row>
    <row r="164" spans="2:11" ht="15.75" thickBot="1" x14ac:dyDescent="0.3">
      <c r="B164" s="1424"/>
      <c r="C164" s="93"/>
      <c r="D164" s="40" t="s">
        <v>997</v>
      </c>
      <c r="E164" s="266">
        <v>0.5</v>
      </c>
      <c r="F164" s="266">
        <v>0.7</v>
      </c>
      <c r="G164" s="5"/>
      <c r="H164" s="267"/>
      <c r="I164" s="5"/>
      <c r="J164" s="5"/>
      <c r="K164" s="5"/>
    </row>
    <row r="165" spans="2:11" ht="15.75" thickBot="1" x14ac:dyDescent="0.3">
      <c r="B165" s="1424"/>
      <c r="C165" s="93"/>
      <c r="D165" s="40" t="s">
        <v>998</v>
      </c>
      <c r="E165" s="266">
        <v>0.3</v>
      </c>
      <c r="F165" s="266">
        <v>1</v>
      </c>
      <c r="G165" s="5"/>
      <c r="H165" s="267"/>
      <c r="I165" s="5"/>
      <c r="J165" s="5"/>
      <c r="K165" s="5"/>
    </row>
    <row r="166" spans="2:11" x14ac:dyDescent="0.25">
      <c r="B166" s="1424"/>
      <c r="C166" s="91"/>
      <c r="D166" s="1408"/>
      <c r="E166" s="1409"/>
      <c r="F166" s="1410"/>
      <c r="G166" s="5"/>
      <c r="H166" s="5"/>
      <c r="I166" s="5"/>
      <c r="J166" s="5"/>
      <c r="K166" s="5"/>
    </row>
    <row r="167" spans="2:11" x14ac:dyDescent="0.25">
      <c r="B167" s="1424"/>
      <c r="C167" s="91"/>
      <c r="D167" s="1411" t="s">
        <v>1001</v>
      </c>
      <c r="E167" s="1412"/>
      <c r="F167" s="1413"/>
      <c r="G167" s="5"/>
      <c r="H167" s="5"/>
      <c r="I167" s="5"/>
      <c r="J167" s="5"/>
      <c r="K167" s="5"/>
    </row>
    <row r="168" spans="2:11" x14ac:dyDescent="0.25">
      <c r="B168" s="1424"/>
      <c r="C168" s="91"/>
      <c r="D168" s="1414" t="s">
        <v>1002</v>
      </c>
      <c r="E168" s="1415"/>
      <c r="F168" s="1416"/>
      <c r="G168" s="5"/>
      <c r="H168" s="5"/>
      <c r="I168" s="5"/>
      <c r="J168" s="5"/>
      <c r="K168" s="5"/>
    </row>
    <row r="169" spans="2:11" x14ac:dyDescent="0.25">
      <c r="B169" s="1424"/>
      <c r="C169" s="91"/>
      <c r="D169" s="232"/>
      <c r="E169" s="129"/>
      <c r="F169" s="45"/>
      <c r="G169" s="5"/>
      <c r="H169" s="5"/>
      <c r="I169" s="5"/>
      <c r="J169" s="5"/>
      <c r="K169" s="5"/>
    </row>
    <row r="170" spans="2:11" x14ac:dyDescent="0.25">
      <c r="B170" s="1424"/>
      <c r="C170" s="91"/>
      <c r="D170" s="1414" t="s">
        <v>1003</v>
      </c>
      <c r="E170" s="1415"/>
      <c r="F170" s="1416"/>
      <c r="G170" s="5"/>
      <c r="H170" s="5"/>
      <c r="I170" s="5"/>
      <c r="J170" s="5"/>
      <c r="K170" s="5"/>
    </row>
    <row r="171" spans="2:11" x14ac:dyDescent="0.25">
      <c r="B171" s="1424"/>
      <c r="C171" s="91"/>
      <c r="D171" s="1414" t="s">
        <v>1004</v>
      </c>
      <c r="E171" s="1415"/>
      <c r="F171" s="1416"/>
      <c r="G171" s="5"/>
      <c r="H171" s="5"/>
      <c r="I171" s="5"/>
      <c r="J171" s="5"/>
      <c r="K171" s="5"/>
    </row>
    <row r="172" spans="2:11" x14ac:dyDescent="0.25">
      <c r="B172" s="1424"/>
      <c r="C172" s="91"/>
      <c r="D172" s="1414" t="s">
        <v>1005</v>
      </c>
      <c r="E172" s="1415"/>
      <c r="F172" s="1416"/>
      <c r="G172" s="5"/>
      <c r="H172" s="5"/>
      <c r="I172" s="5"/>
      <c r="J172" s="5"/>
      <c r="K172" s="5"/>
    </row>
    <row r="173" spans="2:11" x14ac:dyDescent="0.25">
      <c r="B173" s="1424"/>
      <c r="C173" s="91"/>
      <c r="D173" s="1414" t="s">
        <v>1006</v>
      </c>
      <c r="E173" s="1415"/>
      <c r="F173" s="1416"/>
      <c r="G173" s="5"/>
      <c r="H173" s="5"/>
      <c r="I173" s="5"/>
      <c r="J173" s="5"/>
      <c r="K173" s="5"/>
    </row>
    <row r="174" spans="2:11" x14ac:dyDescent="0.25">
      <c r="B174" s="1424"/>
      <c r="C174" s="91"/>
      <c r="D174" s="232"/>
      <c r="E174" s="129"/>
      <c r="F174" s="45"/>
      <c r="G174" s="5"/>
      <c r="H174" s="5"/>
      <c r="I174" s="5"/>
      <c r="J174" s="5"/>
      <c r="K174" s="5"/>
    </row>
    <row r="175" spans="2:11" x14ac:dyDescent="0.25">
      <c r="B175" s="1424"/>
      <c r="C175" s="91"/>
      <c r="D175" s="1411" t="s">
        <v>1007</v>
      </c>
      <c r="E175" s="1412"/>
      <c r="F175" s="1413"/>
      <c r="G175" s="5"/>
      <c r="H175" s="5"/>
      <c r="I175" s="5"/>
      <c r="J175" s="5"/>
      <c r="K175" s="5"/>
    </row>
    <row r="176" spans="2:11" x14ac:dyDescent="0.25">
      <c r="B176" s="1424"/>
      <c r="C176" s="91"/>
      <c r="D176" s="1414" t="s">
        <v>1008</v>
      </c>
      <c r="E176" s="1415"/>
      <c r="F176" s="1416"/>
      <c r="G176" s="5"/>
      <c r="H176" s="5"/>
      <c r="I176" s="5"/>
      <c r="J176" s="5"/>
      <c r="K176" s="5"/>
    </row>
    <row r="177" spans="2:11" ht="32.1" customHeight="1" x14ac:dyDescent="0.25">
      <c r="B177" s="1424"/>
      <c r="C177" s="91"/>
      <c r="D177" s="1444"/>
      <c r="E177" s="1445"/>
      <c r="F177" s="1446"/>
      <c r="G177" s="5"/>
      <c r="H177" s="5"/>
      <c r="I177" s="5"/>
      <c r="J177" s="5"/>
      <c r="K177" s="5"/>
    </row>
    <row r="178" spans="2:11" x14ac:dyDescent="0.25">
      <c r="B178" s="1424"/>
      <c r="C178" s="91"/>
      <c r="D178" s="1414" t="s">
        <v>1009</v>
      </c>
      <c r="E178" s="1415"/>
      <c r="F178" s="1416"/>
      <c r="G178" s="5"/>
      <c r="H178" s="5"/>
      <c r="I178" s="5"/>
      <c r="J178" s="5"/>
      <c r="K178" s="5"/>
    </row>
    <row r="179" spans="2:11" x14ac:dyDescent="0.25">
      <c r="B179" s="1424"/>
      <c r="C179" s="91"/>
      <c r="D179" s="1414" t="s">
        <v>1010</v>
      </c>
      <c r="E179" s="1415"/>
      <c r="F179" s="1416"/>
      <c r="G179" s="5"/>
      <c r="H179" s="5"/>
      <c r="I179" s="5"/>
      <c r="J179" s="5"/>
      <c r="K179" s="5"/>
    </row>
    <row r="180" spans="2:11" x14ac:dyDescent="0.25">
      <c r="B180" s="1424"/>
      <c r="C180" s="91"/>
      <c r="D180" s="1414" t="s">
        <v>1011</v>
      </c>
      <c r="E180" s="1415"/>
      <c r="F180" s="1416"/>
      <c r="G180" s="5"/>
      <c r="H180" s="5"/>
      <c r="I180" s="5"/>
      <c r="J180" s="5"/>
      <c r="K180" s="5"/>
    </row>
    <row r="181" spans="2:11" ht="15.75" thickBot="1" x14ac:dyDescent="0.3">
      <c r="B181" s="1425"/>
      <c r="C181" s="92"/>
      <c r="D181" s="1441" t="s">
        <v>1012</v>
      </c>
      <c r="E181" s="1442"/>
      <c r="F181" s="1443"/>
      <c r="G181" s="5"/>
      <c r="H181" s="5"/>
      <c r="I181" s="5"/>
      <c r="J181" s="5"/>
      <c r="K181" s="5"/>
    </row>
  </sheetData>
  <sheetProtection insertRows="0"/>
  <mergeCells count="106">
    <mergeCell ref="A4:D4"/>
    <mergeCell ref="B10:D10"/>
    <mergeCell ref="E12:K12"/>
    <mergeCell ref="E13:K13"/>
    <mergeCell ref="A1:K1"/>
    <mergeCell ref="A2:K2"/>
    <mergeCell ref="A3:K3"/>
    <mergeCell ref="E4:K4"/>
    <mergeCell ref="A5:K5"/>
    <mergeCell ref="D177:F177"/>
    <mergeCell ref="D178:F178"/>
    <mergeCell ref="D179:F179"/>
    <mergeCell ref="D180:F180"/>
    <mergeCell ref="D173:F173"/>
    <mergeCell ref="D147:F147"/>
    <mergeCell ref="D154:F154"/>
    <mergeCell ref="D155:F155"/>
    <mergeCell ref="D160:F160"/>
    <mergeCell ref="D161:F161"/>
    <mergeCell ref="D166:F166"/>
    <mergeCell ref="D167:F167"/>
    <mergeCell ref="D168:F168"/>
    <mergeCell ref="D170:F170"/>
    <mergeCell ref="D171:F171"/>
    <mergeCell ref="D172:F172"/>
    <mergeCell ref="D141:F141"/>
    <mergeCell ref="D142:F142"/>
    <mergeCell ref="D143:F143"/>
    <mergeCell ref="D144:F144"/>
    <mergeCell ref="D145:F145"/>
    <mergeCell ref="D146:F146"/>
    <mergeCell ref="D132:F132"/>
    <mergeCell ref="D133:F133"/>
    <mergeCell ref="B134:B181"/>
    <mergeCell ref="D134:F134"/>
    <mergeCell ref="D135:F135"/>
    <mergeCell ref="D136:F136"/>
    <mergeCell ref="D137:F137"/>
    <mergeCell ref="D138:F138"/>
    <mergeCell ref="D139:F139"/>
    <mergeCell ref="D140:F140"/>
    <mergeCell ref="B116:B133"/>
    <mergeCell ref="D116:F116"/>
    <mergeCell ref="D117:F117"/>
    <mergeCell ref="D118:F118"/>
    <mergeCell ref="D119:F119"/>
    <mergeCell ref="D181:F181"/>
    <mergeCell ref="D175:F175"/>
    <mergeCell ref="D176:F176"/>
    <mergeCell ref="D115:F115"/>
    <mergeCell ref="D131:F131"/>
    <mergeCell ref="D120:F120"/>
    <mergeCell ref="D121:F121"/>
    <mergeCell ref="D122:F122"/>
    <mergeCell ref="D123:F123"/>
    <mergeCell ref="D124:F124"/>
    <mergeCell ref="D125:F125"/>
    <mergeCell ref="D126:F126"/>
    <mergeCell ref="D127:F127"/>
    <mergeCell ref="D128:F128"/>
    <mergeCell ref="D129:F129"/>
    <mergeCell ref="D130:F130"/>
    <mergeCell ref="D102:F102"/>
    <mergeCell ref="B103:B114"/>
    <mergeCell ref="D103:F103"/>
    <mergeCell ref="D104:F104"/>
    <mergeCell ref="D105:F105"/>
    <mergeCell ref="D106:F106"/>
    <mergeCell ref="D107:F107"/>
    <mergeCell ref="D108:F108"/>
    <mergeCell ref="D109:F109"/>
    <mergeCell ref="D110:F110"/>
    <mergeCell ref="D111:F111"/>
    <mergeCell ref="D112:F112"/>
    <mergeCell ref="D113:F113"/>
    <mergeCell ref="D114:F114"/>
    <mergeCell ref="B74:B80"/>
    <mergeCell ref="B82:E82"/>
    <mergeCell ref="B83:B89"/>
    <mergeCell ref="B96:F97"/>
    <mergeCell ref="D66:E66"/>
    <mergeCell ref="D67:K67"/>
    <mergeCell ref="D68:K68"/>
    <mergeCell ref="D70:K70"/>
    <mergeCell ref="D71:K71"/>
    <mergeCell ref="B15:B21"/>
    <mergeCell ref="D61:K61"/>
    <mergeCell ref="D15:K15"/>
    <mergeCell ref="D22:K22"/>
    <mergeCell ref="D23:K23"/>
    <mergeCell ref="D32:K32"/>
    <mergeCell ref="D33:K33"/>
    <mergeCell ref="D34:K34"/>
    <mergeCell ref="D35:K35"/>
    <mergeCell ref="D36:K36"/>
    <mergeCell ref="D51:K51"/>
    <mergeCell ref="D52:K52"/>
    <mergeCell ref="D55:K55"/>
    <mergeCell ref="D56:K56"/>
    <mergeCell ref="D57:K57"/>
    <mergeCell ref="D60:K60"/>
    <mergeCell ref="D39:K39"/>
    <mergeCell ref="D40:K40"/>
    <mergeCell ref="D43:K43"/>
    <mergeCell ref="D44:K44"/>
    <mergeCell ref="D45:K45"/>
  </mergeCells>
  <conditionalFormatting sqref="D66">
    <cfRule type="containsText" dxfId="129" priority="9" operator="containsText" text="ERROR">
      <formula>NOT(ISERROR(SEARCH("ERROR",D66)))</formula>
    </cfRule>
  </conditionalFormatting>
  <conditionalFormatting sqref="F10">
    <cfRule type="notContainsBlanks" dxfId="128" priority="8">
      <formula>LEN(TRIM(F10))&gt;0</formula>
    </cfRule>
  </conditionalFormatting>
  <conditionalFormatting sqref="F11:S11">
    <cfRule type="expression" dxfId="127" priority="5">
      <formula>E11="NO SE REPORTA"</formula>
    </cfRule>
    <cfRule type="expression" dxfId="126" priority="6">
      <formula>E10="NO APLICA"</formula>
    </cfRule>
  </conditionalFormatting>
  <conditionalFormatting sqref="E12 Q12:R15">
    <cfRule type="expression" dxfId="125" priority="2">
      <formula>E11="SI SE REPORTA"</formula>
    </cfRule>
  </conditionalFormatting>
  <dataValidations count="7">
    <dataValidation type="decimal" allowBlank="1" showInputMessage="1" showErrorMessage="1" errorTitle="ERROR" error="Escriba un valor entre 0% y 100%" sqref="E63:F65 G54:J54 G50:J50 G42:J42 G38:J38">
      <formula1>0</formula1>
      <formula2>1</formula2>
    </dataValidation>
    <dataValidation type="whole" operator="greaterThanOrEqual" allowBlank="1" showErrorMessage="1" errorTitle="ERROR" error="Escriba un número igual o mayor que 0" promptTitle="ERROR" prompt="Escriba un número igual o mayor que 0" sqref="E16:E21">
      <formula1>0</formula1>
    </dataValidation>
    <dataValidation type="textLength" allowBlank="1" showInputMessage="1" showErrorMessage="1" errorTitle="ERROR" error="Escriba POMCA, PMM o PMA" promptTitle="ESCRIBA" prompt="POMCA, PMA o PMM" sqref="D50 D25:D31 D38">
      <formula1>1</formula1>
      <formula2>5</formula2>
    </dataValidation>
    <dataValidation type="list" allowBlank="1" showInputMessage="1" showErrorMessage="1" sqref="E10">
      <formula1>SI</formula1>
    </dataValidation>
    <dataValidation type="list" allowBlank="1" showInputMessage="1" showErrorMessage="1" sqref="E11">
      <formula1>REPORTE</formula1>
    </dataValidation>
    <dataValidation type="whole" operator="greaterThanOrEqual" allowBlank="1" showInputMessage="1" showErrorMessage="1" errorTitle="ERROR" error="Valor en HECTAREAS (sin decimales)_x000a_" sqref="G25:G31">
      <formula1>0</formula1>
    </dataValidation>
    <dataValidation allowBlank="1" showInputMessage="1" showErrorMessage="1" promptTitle="ESTADO" prompt="Procesos formales previos_x000a_Aprestamiento_x000a_Diagnóstico_x000a_Prospectiva y Zonificación Ambiental_x000a_Formulación_x000a_Aprobado" sqref="H25:H31"/>
  </dataValidations>
  <hyperlinks>
    <hyperlink ref="B9" location="'ANEXO 3'!A1" display="VOLVER AL INDICE"/>
    <hyperlink ref="E78" r:id="rId1"/>
  </hyperlinks>
  <pageMargins left="0.25" right="0.25" top="0.75" bottom="0.75" header="0.3" footer="0.3"/>
  <pageSetup paperSize="9" scale="94" fitToHeight="0" orientation="landscape" horizontalDpi="4294967295" verticalDpi="4294967295"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U76"/>
  <sheetViews>
    <sheetView showGridLines="0" zoomScale="98" zoomScaleNormal="98" workbookViewId="0">
      <selection activeCell="F12" sqref="F12"/>
    </sheetView>
  </sheetViews>
  <sheetFormatPr baseColWidth="10" defaultColWidth="10.7109375" defaultRowHeight="15" x14ac:dyDescent="0.25"/>
  <cols>
    <col min="1" max="1" width="1.85546875" customWidth="1"/>
    <col min="2" max="2" width="12.85546875" customWidth="1"/>
    <col min="3" max="3" width="6.14062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3"/>
      <c r="K1" s="5"/>
      <c r="L1"/>
      <c r="M1"/>
      <c r="N1"/>
      <c r="O1"/>
      <c r="P1"/>
      <c r="Q1"/>
      <c r="R1"/>
    </row>
    <row r="2" spans="1:21" s="388" customFormat="1" ht="16.5" customHeight="1" thickBot="1" x14ac:dyDescent="0.3">
      <c r="A2" s="1399" t="str">
        <f>'[7]Datos Generales'!C5</f>
        <v>Corporación Autónoma Regional del Canal del Dique – CARDIQUE</v>
      </c>
      <c r="B2" s="1400"/>
      <c r="C2" s="1400"/>
      <c r="D2" s="1400"/>
      <c r="E2" s="1400"/>
      <c r="F2" s="1400"/>
      <c r="G2" s="1400"/>
      <c r="H2" s="1400"/>
      <c r="I2" s="1400"/>
      <c r="J2" s="1401"/>
      <c r="K2" s="5"/>
      <c r="L2"/>
      <c r="M2"/>
      <c r="N2"/>
      <c r="O2"/>
      <c r="P2"/>
      <c r="Q2"/>
      <c r="R2"/>
    </row>
    <row r="3" spans="1:21" s="388" customFormat="1" ht="16.5" customHeight="1" thickBot="1" x14ac:dyDescent="0.3">
      <c r="A3" s="1236" t="s">
        <v>841</v>
      </c>
      <c r="B3" s="1237"/>
      <c r="C3" s="1237"/>
      <c r="D3" s="1237"/>
      <c r="E3" s="1237"/>
      <c r="F3" s="1237"/>
      <c r="G3" s="1237"/>
      <c r="H3" s="1237"/>
      <c r="I3" s="1237"/>
      <c r="J3" s="1238"/>
      <c r="K3" s="5"/>
      <c r="L3"/>
      <c r="M3"/>
      <c r="N3"/>
      <c r="O3"/>
      <c r="P3"/>
      <c r="Q3"/>
      <c r="R3"/>
    </row>
    <row r="4" spans="1:21" s="388" customFormat="1" ht="16.5" thickBot="1" x14ac:dyDescent="0.3">
      <c r="A4" s="1397" t="s">
        <v>62</v>
      </c>
      <c r="B4" s="1398"/>
      <c r="C4" s="1398"/>
      <c r="D4" s="1398"/>
      <c r="E4" s="405" t="s">
        <v>54</v>
      </c>
      <c r="F4" s="405"/>
      <c r="G4" s="405"/>
      <c r="H4" s="405"/>
      <c r="I4" s="405"/>
      <c r="J4" s="406"/>
      <c r="K4" s="5"/>
      <c r="L4"/>
      <c r="M4"/>
      <c r="N4"/>
      <c r="O4"/>
      <c r="P4"/>
      <c r="Q4"/>
      <c r="R4"/>
    </row>
    <row r="5" spans="1:21" ht="16.5" customHeight="1" thickBot="1" x14ac:dyDescent="0.3">
      <c r="A5" s="1236" t="s">
        <v>83</v>
      </c>
      <c r="B5" s="1237"/>
      <c r="C5" s="1237"/>
      <c r="D5" s="1237"/>
      <c r="E5" s="1237"/>
      <c r="F5" s="1237"/>
      <c r="G5" s="1237"/>
      <c r="H5" s="1237"/>
      <c r="I5" s="1237"/>
      <c r="J5" s="1238"/>
      <c r="K5" s="5"/>
    </row>
    <row r="6" spans="1:21" x14ac:dyDescent="0.25">
      <c r="B6" s="1" t="s">
        <v>878</v>
      </c>
      <c r="C6" s="75"/>
      <c r="D6" s="5"/>
      <c r="E6" s="73">
        <v>0</v>
      </c>
      <c r="F6" s="5" t="s">
        <v>879</v>
      </c>
      <c r="G6" s="5"/>
      <c r="H6" s="5"/>
      <c r="I6" s="5"/>
      <c r="J6" s="5"/>
      <c r="K6" s="5"/>
    </row>
    <row r="7" spans="1:21" ht="15.75" thickBot="1" x14ac:dyDescent="0.3">
      <c r="B7" s="74"/>
      <c r="C7" s="75"/>
      <c r="D7" s="5"/>
      <c r="E7" s="17"/>
      <c r="F7" s="5" t="s">
        <v>880</v>
      </c>
      <c r="G7" s="5"/>
      <c r="H7" s="5"/>
      <c r="I7" s="5"/>
      <c r="J7" s="5"/>
      <c r="K7" s="5"/>
    </row>
    <row r="8" spans="1:21" ht="15.75" thickBot="1" x14ac:dyDescent="0.3">
      <c r="B8" s="171" t="s">
        <v>881</v>
      </c>
      <c r="C8" s="210">
        <v>2022</v>
      </c>
      <c r="D8" s="227" t="str">
        <f>IF(E10="NO APLICA","NO APLICA",IF(E11="NO SE REPORTA","SIN INFORMACION",+F23))</f>
        <v>SIN INFORMACION</v>
      </c>
      <c r="E8" s="211"/>
      <c r="F8" s="5" t="s">
        <v>882</v>
      </c>
      <c r="G8" s="5"/>
      <c r="H8" s="5"/>
      <c r="I8" s="5"/>
      <c r="J8" s="5"/>
      <c r="K8" s="5"/>
    </row>
    <row r="9" spans="1:21" x14ac:dyDescent="0.25">
      <c r="B9" s="356" t="s">
        <v>883</v>
      </c>
      <c r="D9" s="58"/>
      <c r="E9" s="5"/>
      <c r="F9" s="5"/>
      <c r="G9" s="5"/>
      <c r="H9" s="5"/>
      <c r="I9" s="5"/>
      <c r="J9" s="5"/>
      <c r="K9" s="5"/>
    </row>
    <row r="10" spans="1:21" x14ac:dyDescent="0.25">
      <c r="B10" s="1447" t="s">
        <v>884</v>
      </c>
      <c r="C10" s="1447"/>
      <c r="D10" s="1447"/>
      <c r="E10" s="558" t="s">
        <v>885</v>
      </c>
      <c r="F10" s="1456" t="s">
        <v>2658</v>
      </c>
      <c r="G10" s="1456"/>
      <c r="H10" s="1456"/>
      <c r="I10" s="1456"/>
      <c r="J10" s="1456"/>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9" t="s">
        <v>1307</v>
      </c>
      <c r="F11" s="1455" t="s">
        <v>2659</v>
      </c>
      <c r="G11" s="1455"/>
      <c r="H11" s="1455"/>
      <c r="I11" s="1455"/>
      <c r="J11" s="1455"/>
      <c r="K11" s="557"/>
      <c r="L11" s="557"/>
      <c r="M11" s="557"/>
      <c r="N11" s="557"/>
      <c r="O11" s="557"/>
      <c r="P11" s="557"/>
      <c r="Q11" s="557"/>
      <c r="R11" s="557"/>
      <c r="S11" s="557"/>
    </row>
    <row r="12" spans="1:21" ht="23.45" customHeight="1" x14ac:dyDescent="0.25">
      <c r="B12" s="356"/>
      <c r="C12" s="87"/>
      <c r="D12" s="171" t="str">
        <f>IF(E11="SI SE REPORTA","¿Qué programas o proyectos del Plan de Acción están asociados al indicador? ","")</f>
        <v/>
      </c>
      <c r="E12" s="552"/>
      <c r="F12" s="552"/>
      <c r="G12" s="552"/>
      <c r="H12" s="552"/>
      <c r="I12" s="552"/>
      <c r="J12" s="552"/>
      <c r="K12" s="552"/>
      <c r="L12" s="552"/>
      <c r="M12" s="552"/>
      <c r="N12" s="552"/>
      <c r="O12" s="552"/>
      <c r="P12" s="552"/>
      <c r="Q12" s="552"/>
      <c r="R12" s="552"/>
    </row>
    <row r="13" spans="1:21" ht="21.95" customHeight="1" x14ac:dyDescent="0.25">
      <c r="B13" s="356"/>
      <c r="C13" s="87"/>
      <c r="D13" s="171" t="s">
        <v>887</v>
      </c>
      <c r="E13" s="1457" t="s">
        <v>2101</v>
      </c>
      <c r="F13" s="1457"/>
      <c r="G13" s="1457"/>
      <c r="H13" s="1457"/>
      <c r="I13" s="1457"/>
      <c r="J13" s="1457"/>
      <c r="K13" s="552"/>
      <c r="L13" s="552"/>
      <c r="M13" s="552"/>
      <c r="N13" s="552"/>
      <c r="O13" s="552"/>
      <c r="P13" s="552"/>
      <c r="Q13" s="552"/>
      <c r="R13" s="552"/>
    </row>
    <row r="14" spans="1:21" ht="6.95" customHeight="1" thickBot="1" x14ac:dyDescent="0.3">
      <c r="B14" s="356"/>
      <c r="D14" s="58"/>
      <c r="E14" s="5"/>
      <c r="F14" s="5"/>
      <c r="G14" s="5"/>
      <c r="H14" s="5"/>
      <c r="I14" s="5"/>
      <c r="J14" s="5"/>
      <c r="K14" s="552"/>
      <c r="L14" s="552"/>
      <c r="M14" s="552"/>
      <c r="N14" s="552"/>
      <c r="O14" s="552"/>
      <c r="P14" s="552"/>
      <c r="Q14" s="552"/>
      <c r="R14" s="552"/>
    </row>
    <row r="15" spans="1:21" ht="15.75" thickBot="1" x14ac:dyDescent="0.3">
      <c r="B15" s="1423" t="s">
        <v>888</v>
      </c>
      <c r="C15" s="88"/>
      <c r="D15" s="1408" t="s">
        <v>889</v>
      </c>
      <c r="E15" s="1409"/>
      <c r="F15" s="1409"/>
      <c r="G15" s="1409"/>
      <c r="H15" s="1409"/>
      <c r="I15" s="1409"/>
      <c r="J15" s="1410"/>
      <c r="K15" s="552"/>
      <c r="L15" s="552"/>
      <c r="M15" s="552"/>
      <c r="N15" s="552"/>
      <c r="O15" s="552"/>
      <c r="P15" s="552"/>
      <c r="Q15" s="552"/>
      <c r="R15" s="552"/>
    </row>
    <row r="16" spans="1:21" ht="36.75" thickBot="1" x14ac:dyDescent="0.3">
      <c r="B16" s="1424"/>
      <c r="C16" s="93"/>
      <c r="D16" s="43" t="s">
        <v>1013</v>
      </c>
      <c r="E16" s="205">
        <v>0</v>
      </c>
      <c r="F16" s="5"/>
      <c r="G16" s="5"/>
      <c r="H16" s="5"/>
      <c r="I16" s="5"/>
      <c r="J16" s="21"/>
      <c r="K16" s="5"/>
    </row>
    <row r="17" spans="2:11" ht="48.75" thickBot="1" x14ac:dyDescent="0.3">
      <c r="B17" s="1424"/>
      <c r="C17" s="93"/>
      <c r="D17" s="40" t="s">
        <v>2656</v>
      </c>
      <c r="E17" s="205">
        <v>0</v>
      </c>
      <c r="F17" s="5"/>
      <c r="G17" s="5"/>
      <c r="H17" s="5"/>
      <c r="I17" s="5"/>
      <c r="J17" s="21"/>
      <c r="K17" s="5"/>
    </row>
    <row r="18" spans="2:11" ht="48.75" thickBot="1" x14ac:dyDescent="0.3">
      <c r="B18" s="1424"/>
      <c r="C18" s="93"/>
      <c r="D18" s="40" t="s">
        <v>1014</v>
      </c>
      <c r="E18" s="205">
        <v>0</v>
      </c>
      <c r="F18" s="5"/>
      <c r="G18" s="5"/>
      <c r="H18" s="5"/>
      <c r="I18" s="5"/>
      <c r="J18" s="21"/>
      <c r="K18" s="5"/>
    </row>
    <row r="19" spans="2:11" ht="15.75" thickBot="1" x14ac:dyDescent="0.3">
      <c r="B19" s="1424"/>
      <c r="C19" s="91"/>
      <c r="D19" s="1438"/>
      <c r="E19" s="1439"/>
      <c r="F19" s="1439"/>
      <c r="G19" s="1439"/>
      <c r="H19" s="1439"/>
      <c r="I19" s="1439"/>
      <c r="J19" s="1440"/>
      <c r="K19" s="5"/>
    </row>
    <row r="20" spans="2:11" ht="15.75" thickBot="1" x14ac:dyDescent="0.3">
      <c r="B20" s="1424"/>
      <c r="C20" s="97" t="s">
        <v>842</v>
      </c>
      <c r="D20" s="43" t="s">
        <v>1015</v>
      </c>
      <c r="E20" s="38" t="s">
        <v>909</v>
      </c>
      <c r="F20" s="38" t="s">
        <v>910</v>
      </c>
      <c r="G20" s="38" t="s">
        <v>911</v>
      </c>
      <c r="H20" s="38" t="s">
        <v>912</v>
      </c>
      <c r="I20" s="38" t="s">
        <v>1016</v>
      </c>
      <c r="J20" s="110"/>
      <c r="K20" s="5"/>
    </row>
    <row r="21" spans="2:11" ht="36.75" thickBot="1" x14ac:dyDescent="0.3">
      <c r="B21" s="1424"/>
      <c r="C21" s="2" t="s">
        <v>1017</v>
      </c>
      <c r="D21" s="40" t="s">
        <v>1018</v>
      </c>
      <c r="E21" s="205">
        <v>0</v>
      </c>
      <c r="F21" s="205">
        <v>0</v>
      </c>
      <c r="G21" s="205">
        <v>0</v>
      </c>
      <c r="H21" s="205">
        <v>0</v>
      </c>
      <c r="I21" s="42">
        <f>SUM(E21:H21)</f>
        <v>0</v>
      </c>
      <c r="J21" s="111"/>
      <c r="K21" s="5"/>
    </row>
    <row r="22" spans="2:11" ht="36.75" thickBot="1" x14ac:dyDescent="0.3">
      <c r="B22" s="1424"/>
      <c r="C22" s="2" t="s">
        <v>1019</v>
      </c>
      <c r="D22" s="40" t="s">
        <v>1020</v>
      </c>
      <c r="E22" s="205">
        <v>0</v>
      </c>
      <c r="F22" s="205">
        <v>0</v>
      </c>
      <c r="G22" s="205">
        <v>0</v>
      </c>
      <c r="H22" s="205">
        <v>0</v>
      </c>
      <c r="I22" s="42">
        <f>SUM(E22:H22)</f>
        <v>0</v>
      </c>
      <c r="J22" s="111"/>
      <c r="K22" s="5"/>
    </row>
    <row r="23" spans="2:11" ht="36.75" thickBot="1" x14ac:dyDescent="0.3">
      <c r="B23" s="1425"/>
      <c r="C23" s="2" t="s">
        <v>1021</v>
      </c>
      <c r="D23" s="40" t="s">
        <v>1022</v>
      </c>
      <c r="E23" s="185" t="str">
        <f>IFERROR(E22/E21,"N.A.")</f>
        <v>N.A.</v>
      </c>
      <c r="F23" s="185" t="str">
        <f>IFERROR(F22/F21,"N.A.")</f>
        <v>N.A.</v>
      </c>
      <c r="G23" s="185" t="str">
        <f>IFERROR(G22/G21,"N.A.")</f>
        <v>N.A.</v>
      </c>
      <c r="H23" s="185" t="str">
        <f>IFERROR(H22/H21,"N.A.")</f>
        <v>N.A.</v>
      </c>
      <c r="I23" s="185" t="str">
        <f>IFERROR(I22/I21,"N.A.")</f>
        <v>N.A.</v>
      </c>
      <c r="J23" s="112"/>
      <c r="K23" s="5"/>
    </row>
    <row r="24" spans="2:11" ht="15.75" thickBot="1" x14ac:dyDescent="0.3">
      <c r="B24" s="46" t="s">
        <v>924</v>
      </c>
      <c r="C24" s="92"/>
      <c r="D24" s="1435" t="s">
        <v>1023</v>
      </c>
      <c r="E24" s="1436"/>
      <c r="F24" s="1436"/>
      <c r="G24" s="1436"/>
      <c r="H24" s="1436"/>
      <c r="I24" s="1436"/>
      <c r="J24" s="1437"/>
      <c r="K24" s="5"/>
    </row>
    <row r="25" spans="2:11" ht="24.75" thickBot="1" x14ac:dyDescent="0.3">
      <c r="B25" s="46" t="s">
        <v>926</v>
      </c>
      <c r="C25" s="92"/>
      <c r="D25" s="1435" t="s">
        <v>1024</v>
      </c>
      <c r="E25" s="1436"/>
      <c r="F25" s="1436"/>
      <c r="G25" s="1436"/>
      <c r="H25" s="1436"/>
      <c r="I25" s="1436"/>
      <c r="J25" s="1437"/>
      <c r="K25" s="5"/>
    </row>
    <row r="26" spans="2:11" ht="15.75" thickBot="1" x14ac:dyDescent="0.3">
      <c r="B26" s="1"/>
      <c r="C26" s="75"/>
      <c r="D26" s="5"/>
      <c r="E26" s="5"/>
      <c r="F26" s="5"/>
      <c r="G26" s="5"/>
      <c r="H26" s="5"/>
      <c r="I26" s="5"/>
      <c r="J26" s="5"/>
      <c r="K26" s="5"/>
    </row>
    <row r="27" spans="2:11" ht="24" customHeight="1" thickBot="1" x14ac:dyDescent="0.3">
      <c r="B27" s="1426" t="s">
        <v>928</v>
      </c>
      <c r="C27" s="1427"/>
      <c r="D27" s="1427"/>
      <c r="E27" s="1428"/>
      <c r="F27" s="5"/>
      <c r="G27" s="5"/>
      <c r="H27" s="5"/>
      <c r="I27" s="5"/>
      <c r="J27" s="5"/>
      <c r="K27" s="5"/>
    </row>
    <row r="28" spans="2:11" ht="15.75" thickBot="1" x14ac:dyDescent="0.3">
      <c r="B28" s="1423">
        <v>1</v>
      </c>
      <c r="C28" s="93"/>
      <c r="D28" s="47" t="s">
        <v>929</v>
      </c>
      <c r="E28" s="160" t="s">
        <v>2093</v>
      </c>
      <c r="F28" s="5"/>
      <c r="G28" s="5"/>
      <c r="H28" s="5"/>
      <c r="I28" s="5"/>
      <c r="J28" s="5"/>
      <c r="K28" s="5"/>
    </row>
    <row r="29" spans="2:11" ht="15.75" thickBot="1" x14ac:dyDescent="0.3">
      <c r="B29" s="1424"/>
      <c r="C29" s="93"/>
      <c r="D29" s="40" t="s">
        <v>7</v>
      </c>
      <c r="E29" s="160" t="s">
        <v>2098</v>
      </c>
      <c r="F29" s="5"/>
      <c r="G29" s="5"/>
      <c r="H29" s="5"/>
      <c r="I29" s="5"/>
      <c r="J29" s="5"/>
      <c r="K29" s="5"/>
    </row>
    <row r="30" spans="2:11" ht="15.75" thickBot="1" x14ac:dyDescent="0.3">
      <c r="B30" s="1424"/>
      <c r="C30" s="93"/>
      <c r="D30" s="40" t="s">
        <v>930</v>
      </c>
      <c r="E30" s="160" t="s">
        <v>2099</v>
      </c>
      <c r="F30" s="5"/>
      <c r="G30" s="5"/>
      <c r="H30" s="5"/>
      <c r="I30" s="5"/>
      <c r="J30" s="5"/>
      <c r="K30" s="5"/>
    </row>
    <row r="31" spans="2:11" ht="15.75" thickBot="1" x14ac:dyDescent="0.3">
      <c r="B31" s="1424"/>
      <c r="C31" s="93"/>
      <c r="D31" s="40" t="s">
        <v>9</v>
      </c>
      <c r="E31" s="160" t="s">
        <v>2095</v>
      </c>
      <c r="F31" s="5"/>
      <c r="G31" s="5"/>
      <c r="H31" s="5"/>
      <c r="I31" s="5"/>
      <c r="J31" s="5"/>
      <c r="K31" s="5"/>
    </row>
    <row r="32" spans="2:11" ht="15.75" thickBot="1" x14ac:dyDescent="0.3">
      <c r="B32" s="1424"/>
      <c r="C32" s="93"/>
      <c r="D32" s="40" t="s">
        <v>11</v>
      </c>
      <c r="E32" s="160" t="s">
        <v>2100</v>
      </c>
      <c r="F32" s="5"/>
      <c r="G32" s="5"/>
      <c r="H32" s="5"/>
      <c r="I32" s="5"/>
      <c r="J32" s="5"/>
      <c r="K32" s="5"/>
    </row>
    <row r="33" spans="2:11" ht="15.75" thickBot="1" x14ac:dyDescent="0.3">
      <c r="B33" s="1424"/>
      <c r="C33" s="93"/>
      <c r="D33" s="40" t="s">
        <v>13</v>
      </c>
      <c r="E33" s="160">
        <v>6695278</v>
      </c>
      <c r="F33" s="5"/>
      <c r="G33" s="5"/>
      <c r="H33" s="5"/>
      <c r="I33" s="5"/>
      <c r="J33" s="5"/>
      <c r="K33" s="5"/>
    </row>
    <row r="34" spans="2:11" ht="15.75" thickBot="1" x14ac:dyDescent="0.3">
      <c r="B34" s="1425"/>
      <c r="C34" s="2"/>
      <c r="D34" s="40" t="s">
        <v>931</v>
      </c>
      <c r="E34" s="160" t="s">
        <v>2097</v>
      </c>
      <c r="F34" s="5"/>
      <c r="G34" s="5"/>
      <c r="H34" s="5"/>
      <c r="I34" s="5"/>
      <c r="J34" s="5"/>
      <c r="K34" s="5"/>
    </row>
    <row r="35" spans="2:11" ht="15.75" thickBot="1" x14ac:dyDescent="0.3">
      <c r="B35" s="1"/>
      <c r="C35" s="75"/>
      <c r="D35" s="5"/>
      <c r="E35" s="5"/>
      <c r="F35" s="5"/>
      <c r="G35" s="5"/>
      <c r="H35" s="5"/>
      <c r="I35" s="5"/>
      <c r="J35" s="5"/>
      <c r="K35" s="5"/>
    </row>
    <row r="36" spans="2:11" ht="15.75" thickBot="1" x14ac:dyDescent="0.3">
      <c r="B36" s="1426" t="s">
        <v>932</v>
      </c>
      <c r="C36" s="1427"/>
      <c r="D36" s="1427"/>
      <c r="E36" s="1428"/>
      <c r="F36" s="5"/>
      <c r="G36" s="5"/>
      <c r="H36" s="5"/>
      <c r="I36" s="5"/>
      <c r="J36" s="5"/>
      <c r="K36" s="5"/>
    </row>
    <row r="37" spans="2:11" ht="15.75" thickBot="1" x14ac:dyDescent="0.3">
      <c r="B37" s="1423">
        <v>1</v>
      </c>
      <c r="C37" s="93"/>
      <c r="D37" s="47" t="s">
        <v>929</v>
      </c>
      <c r="E37" s="34" t="s">
        <v>933</v>
      </c>
      <c r="F37" s="5"/>
      <c r="G37" s="5"/>
      <c r="H37" s="5"/>
      <c r="I37" s="5"/>
      <c r="J37" s="5"/>
      <c r="K37" s="5"/>
    </row>
    <row r="38" spans="2:11" ht="15.75" thickBot="1" x14ac:dyDescent="0.3">
      <c r="B38" s="1424"/>
      <c r="C38" s="93"/>
      <c r="D38" s="40" t="s">
        <v>7</v>
      </c>
      <c r="E38" s="34" t="s">
        <v>934</v>
      </c>
      <c r="F38" s="5"/>
      <c r="G38" s="5"/>
      <c r="H38" s="5"/>
      <c r="I38" s="5"/>
      <c r="J38" s="5"/>
      <c r="K38" s="5"/>
    </row>
    <row r="39" spans="2:11" ht="15.75" thickBot="1" x14ac:dyDescent="0.3">
      <c r="B39" s="1424"/>
      <c r="C39" s="93"/>
      <c r="D39" s="40" t="s">
        <v>930</v>
      </c>
      <c r="E39" s="165"/>
      <c r="F39" s="5"/>
      <c r="G39" s="5"/>
      <c r="H39" s="5"/>
      <c r="I39" s="5"/>
      <c r="J39" s="5"/>
      <c r="K39" s="5"/>
    </row>
    <row r="40" spans="2:11" ht="15.75" thickBot="1" x14ac:dyDescent="0.3">
      <c r="B40" s="1424"/>
      <c r="C40" s="93"/>
      <c r="D40" s="40" t="s">
        <v>9</v>
      </c>
      <c r="E40" s="165"/>
      <c r="F40" s="5"/>
      <c r="G40" s="5"/>
      <c r="H40" s="5"/>
      <c r="I40" s="5"/>
      <c r="J40" s="5"/>
      <c r="K40" s="5"/>
    </row>
    <row r="41" spans="2:11" ht="15.75" thickBot="1" x14ac:dyDescent="0.3">
      <c r="B41" s="1424"/>
      <c r="C41" s="93"/>
      <c r="D41" s="40" t="s">
        <v>11</v>
      </c>
      <c r="E41" s="234"/>
      <c r="F41" s="5"/>
      <c r="G41" s="5"/>
      <c r="H41" s="5"/>
      <c r="I41" s="5"/>
      <c r="J41" s="5"/>
      <c r="K41" s="5"/>
    </row>
    <row r="42" spans="2:11" ht="15.75" thickBot="1" x14ac:dyDescent="0.3">
      <c r="B42" s="1424"/>
      <c r="C42" s="93"/>
      <c r="D42" s="40" t="s">
        <v>13</v>
      </c>
      <c r="E42" s="234"/>
      <c r="F42" s="5"/>
      <c r="G42" s="5"/>
      <c r="H42" s="5"/>
      <c r="I42" s="5"/>
      <c r="J42" s="5"/>
      <c r="K42" s="5"/>
    </row>
    <row r="43" spans="2:11" ht="15.75" thickBot="1" x14ac:dyDescent="0.3">
      <c r="B43" s="1425"/>
      <c r="C43" s="2"/>
      <c r="D43" s="40" t="s">
        <v>931</v>
      </c>
      <c r="E43" s="234"/>
      <c r="F43" s="5"/>
      <c r="G43" s="5"/>
      <c r="H43" s="5"/>
      <c r="I43" s="5"/>
      <c r="J43" s="5"/>
      <c r="K43" s="5"/>
    </row>
    <row r="44" spans="2:11" ht="15.75" thickBot="1" x14ac:dyDescent="0.3">
      <c r="B44" s="1"/>
      <c r="C44" s="75"/>
      <c r="D44" s="5"/>
      <c r="E44" s="5"/>
      <c r="F44" s="5"/>
      <c r="G44" s="5"/>
      <c r="H44" s="5"/>
      <c r="I44" s="5"/>
      <c r="J44" s="5"/>
      <c r="K44" s="5"/>
    </row>
    <row r="45" spans="2:11" ht="15" customHeight="1" thickBot="1" x14ac:dyDescent="0.3">
      <c r="B45" s="118" t="s">
        <v>935</v>
      </c>
      <c r="C45" s="119"/>
      <c r="D45" s="119"/>
      <c r="E45" s="119"/>
      <c r="F45" s="120"/>
      <c r="G45" s="5"/>
      <c r="H45" s="5"/>
      <c r="I45" s="5"/>
      <c r="J45" s="5"/>
      <c r="K45" s="5"/>
    </row>
    <row r="46" spans="2:11" ht="15.75" thickBot="1" x14ac:dyDescent="0.3">
      <c r="B46" s="46" t="s">
        <v>936</v>
      </c>
      <c r="C46" s="39" t="s">
        <v>937</v>
      </c>
      <c r="D46" s="39" t="s">
        <v>938</v>
      </c>
      <c r="E46" s="39" t="s">
        <v>939</v>
      </c>
      <c r="F46" s="5"/>
      <c r="G46" s="5"/>
      <c r="H46" s="5"/>
      <c r="I46" s="5"/>
      <c r="J46" s="5"/>
    </row>
    <row r="47" spans="2:11" ht="72.75" thickBot="1" x14ac:dyDescent="0.3">
      <c r="B47" s="48">
        <v>42401</v>
      </c>
      <c r="C47" s="39">
        <v>0.01</v>
      </c>
      <c r="D47" s="49" t="s">
        <v>1026</v>
      </c>
      <c r="E47" s="39"/>
      <c r="F47" s="5"/>
      <c r="G47" s="5"/>
      <c r="H47" s="5"/>
      <c r="I47" s="5"/>
      <c r="J47" s="5"/>
    </row>
    <row r="48" spans="2:11" ht="15.75" thickBot="1" x14ac:dyDescent="0.3">
      <c r="B48" s="1"/>
      <c r="C48" s="75"/>
      <c r="D48" s="5"/>
      <c r="E48" s="5"/>
      <c r="F48" s="5"/>
      <c r="G48" s="5"/>
      <c r="H48" s="5"/>
      <c r="I48" s="5"/>
      <c r="J48" s="5"/>
      <c r="K48" s="5"/>
    </row>
    <row r="49" spans="2:11" x14ac:dyDescent="0.25">
      <c r="B49" s="128" t="s">
        <v>846</v>
      </c>
      <c r="C49" s="95"/>
      <c r="D49" s="5"/>
      <c r="E49" s="5"/>
      <c r="F49" s="5"/>
      <c r="G49" s="5"/>
      <c r="H49" s="5"/>
      <c r="I49" s="5"/>
      <c r="J49" s="5"/>
      <c r="K49" s="5"/>
    </row>
    <row r="50" spans="2:11" x14ac:dyDescent="0.25">
      <c r="B50" s="1458"/>
      <c r="C50" s="1459"/>
      <c r="D50" s="1459"/>
      <c r="E50" s="1459"/>
      <c r="F50" s="1459"/>
      <c r="G50" s="1459"/>
      <c r="H50" s="1459"/>
      <c r="I50" s="1459"/>
      <c r="J50" s="1460"/>
      <c r="K50" s="5"/>
    </row>
    <row r="51" spans="2:11" x14ac:dyDescent="0.25">
      <c r="B51" s="5"/>
      <c r="D51" s="5"/>
      <c r="E51" s="5"/>
      <c r="F51" s="5"/>
      <c r="G51" s="5"/>
      <c r="H51" s="5"/>
      <c r="I51" s="5"/>
      <c r="J51" s="5"/>
      <c r="K51" s="5"/>
    </row>
    <row r="52" spans="2:11" ht="15.75" thickBot="1" x14ac:dyDescent="0.3">
      <c r="B52" s="5"/>
      <c r="D52" s="5"/>
      <c r="E52" s="5"/>
      <c r="F52" s="5"/>
      <c r="G52" s="5"/>
      <c r="H52" s="5"/>
      <c r="I52" s="5"/>
      <c r="J52" s="5"/>
      <c r="K52" s="5"/>
    </row>
    <row r="53" spans="2:11" ht="15.75" thickBot="1" x14ac:dyDescent="0.3">
      <c r="B53" s="1426" t="s">
        <v>941</v>
      </c>
      <c r="C53" s="1427"/>
      <c r="D53" s="1428"/>
      <c r="E53" s="5"/>
      <c r="F53" s="5"/>
      <c r="G53" s="5"/>
      <c r="H53" s="5"/>
      <c r="I53" s="5"/>
      <c r="J53" s="5"/>
      <c r="K53" s="5"/>
    </row>
    <row r="54" spans="2:11" ht="15.75" thickBot="1" x14ac:dyDescent="0.3">
      <c r="B54" s="1"/>
      <c r="C54" s="75"/>
      <c r="D54" s="5"/>
      <c r="E54" s="5"/>
      <c r="F54" s="5"/>
      <c r="G54" s="5"/>
      <c r="H54" s="5"/>
      <c r="I54" s="5"/>
      <c r="J54" s="5"/>
      <c r="K54" s="5"/>
    </row>
    <row r="55" spans="2:11" ht="24" customHeight="1" thickBot="1" x14ac:dyDescent="0.3">
      <c r="B55" s="51" t="s">
        <v>942</v>
      </c>
      <c r="C55" s="231"/>
      <c r="D55" s="1435" t="s">
        <v>1027</v>
      </c>
      <c r="E55" s="1436"/>
      <c r="F55" s="1436"/>
      <c r="G55" s="1436"/>
      <c r="H55" s="1436"/>
      <c r="I55" s="1436"/>
      <c r="J55" s="1437"/>
      <c r="K55" s="5"/>
    </row>
    <row r="56" spans="2:11" x14ac:dyDescent="0.25">
      <c r="B56" s="1423" t="s">
        <v>944</v>
      </c>
      <c r="C56" s="88"/>
      <c r="D56" s="1420" t="s">
        <v>945</v>
      </c>
      <c r="E56" s="1421"/>
      <c r="F56" s="1421"/>
      <c r="G56" s="1421"/>
      <c r="H56" s="1421"/>
      <c r="I56" s="1421"/>
      <c r="J56" s="1422"/>
      <c r="K56" s="5"/>
    </row>
    <row r="57" spans="2:11" ht="24" customHeight="1" x14ac:dyDescent="0.25">
      <c r="B57" s="1424"/>
      <c r="C57" s="91"/>
      <c r="D57" s="1414" t="s">
        <v>1028</v>
      </c>
      <c r="E57" s="1415"/>
      <c r="F57" s="1415"/>
      <c r="G57" s="1415"/>
      <c r="H57" s="1415"/>
      <c r="I57" s="1415"/>
      <c r="J57" s="1416"/>
      <c r="K57" s="5"/>
    </row>
    <row r="58" spans="2:11" x14ac:dyDescent="0.25">
      <c r="B58" s="1424"/>
      <c r="C58" s="91"/>
      <c r="D58" s="1411" t="s">
        <v>1029</v>
      </c>
      <c r="E58" s="1412"/>
      <c r="F58" s="1412"/>
      <c r="G58" s="1412"/>
      <c r="H58" s="1412"/>
      <c r="I58" s="1412"/>
      <c r="J58" s="1413"/>
      <c r="K58" s="5"/>
    </row>
    <row r="59" spans="2:11" x14ac:dyDescent="0.25">
      <c r="B59" s="1424"/>
      <c r="C59" s="91"/>
      <c r="D59" s="1414" t="s">
        <v>1030</v>
      </c>
      <c r="E59" s="1415"/>
      <c r="F59" s="1415"/>
      <c r="G59" s="1415"/>
      <c r="H59" s="1415"/>
      <c r="I59" s="1415"/>
      <c r="J59" s="1416"/>
      <c r="K59" s="5"/>
    </row>
    <row r="60" spans="2:11" x14ac:dyDescent="0.25">
      <c r="B60" s="1424"/>
      <c r="C60" s="91"/>
      <c r="D60" s="1414" t="s">
        <v>1031</v>
      </c>
      <c r="E60" s="1415"/>
      <c r="F60" s="1415"/>
      <c r="G60" s="1415"/>
      <c r="H60" s="1415"/>
      <c r="I60" s="1415"/>
      <c r="J60" s="1416"/>
      <c r="K60" s="5"/>
    </row>
    <row r="61" spans="2:11" x14ac:dyDescent="0.25">
      <c r="B61" s="1424"/>
      <c r="C61" s="91"/>
      <c r="D61" s="1414" t="s">
        <v>1032</v>
      </c>
      <c r="E61" s="1415"/>
      <c r="F61" s="1415"/>
      <c r="G61" s="1415"/>
      <c r="H61" s="1415"/>
      <c r="I61" s="1415"/>
      <c r="J61" s="1416"/>
      <c r="K61" s="5"/>
    </row>
    <row r="62" spans="2:11" ht="24" customHeight="1" x14ac:dyDescent="0.25">
      <c r="B62" s="1424"/>
      <c r="C62" s="91"/>
      <c r="D62" s="1414" t="s">
        <v>1033</v>
      </c>
      <c r="E62" s="1415"/>
      <c r="F62" s="1415"/>
      <c r="G62" s="1415"/>
      <c r="H62" s="1415"/>
      <c r="I62" s="1415"/>
      <c r="J62" s="1416"/>
      <c r="K62" s="5"/>
    </row>
    <row r="63" spans="2:11" ht="24" customHeight="1" x14ac:dyDescent="0.25">
      <c r="B63" s="1424"/>
      <c r="C63" s="91"/>
      <c r="D63" s="1414" t="s">
        <v>1034</v>
      </c>
      <c r="E63" s="1415"/>
      <c r="F63" s="1415"/>
      <c r="G63" s="1415"/>
      <c r="H63" s="1415"/>
      <c r="I63" s="1415"/>
      <c r="J63" s="1416"/>
      <c r="K63" s="5"/>
    </row>
    <row r="64" spans="2:11" x14ac:dyDescent="0.25">
      <c r="B64" s="1424"/>
      <c r="C64" s="91"/>
      <c r="D64" s="1414" t="s">
        <v>1035</v>
      </c>
      <c r="E64" s="1415"/>
      <c r="F64" s="1415"/>
      <c r="G64" s="1415"/>
      <c r="H64" s="1415"/>
      <c r="I64" s="1415"/>
      <c r="J64" s="1416"/>
      <c r="K64" s="5"/>
    </row>
    <row r="65" spans="2:11" x14ac:dyDescent="0.25">
      <c r="B65" s="1424"/>
      <c r="C65" s="91"/>
      <c r="D65" s="1411" t="s">
        <v>1036</v>
      </c>
      <c r="E65" s="1412"/>
      <c r="F65" s="1412"/>
      <c r="G65" s="1412"/>
      <c r="H65" s="1412"/>
      <c r="I65" s="1412"/>
      <c r="J65" s="1413"/>
      <c r="K65" s="5"/>
    </row>
    <row r="66" spans="2:11" ht="15.75" thickBot="1" x14ac:dyDescent="0.3">
      <c r="B66" s="1425"/>
      <c r="C66" s="92"/>
      <c r="D66" s="1438" t="s">
        <v>1037</v>
      </c>
      <c r="E66" s="1439"/>
      <c r="F66" s="1439"/>
      <c r="G66" s="1439"/>
      <c r="H66" s="1439"/>
      <c r="I66" s="1439"/>
      <c r="J66" s="1440"/>
      <c r="K66" s="5"/>
    </row>
    <row r="67" spans="2:11" ht="24.75" thickBot="1" x14ac:dyDescent="0.3">
      <c r="B67" s="46" t="s">
        <v>957</v>
      </c>
      <c r="C67" s="92"/>
      <c r="D67" s="1435"/>
      <c r="E67" s="1436"/>
      <c r="F67" s="1436"/>
      <c r="G67" s="1436"/>
      <c r="H67" s="1436"/>
      <c r="I67" s="1436"/>
      <c r="J67" s="1437"/>
      <c r="K67" s="5"/>
    </row>
    <row r="68" spans="2:11" ht="24.75" thickBot="1" x14ac:dyDescent="0.3">
      <c r="B68" s="46" t="s">
        <v>958</v>
      </c>
      <c r="C68" s="92"/>
      <c r="D68" s="1435" t="s">
        <v>1038</v>
      </c>
      <c r="E68" s="1436"/>
      <c r="F68" s="1436"/>
      <c r="G68" s="1436"/>
      <c r="H68" s="1436"/>
      <c r="I68" s="1436"/>
      <c r="J68" s="1437"/>
      <c r="K68" s="5"/>
    </row>
    <row r="69" spans="2:11" x14ac:dyDescent="0.25">
      <c r="B69" s="1423" t="s">
        <v>975</v>
      </c>
      <c r="C69" s="88"/>
      <c r="D69" s="1408"/>
      <c r="E69" s="1409"/>
      <c r="F69" s="1409"/>
      <c r="G69" s="1409"/>
      <c r="H69" s="1409"/>
      <c r="I69" s="1409"/>
      <c r="J69" s="1410"/>
      <c r="K69" s="5"/>
    </row>
    <row r="70" spans="2:11" x14ac:dyDescent="0.25">
      <c r="B70" s="1424"/>
      <c r="C70" s="91"/>
      <c r="D70" s="1444"/>
      <c r="E70" s="1445"/>
      <c r="F70" s="1445"/>
      <c r="G70" s="1445"/>
      <c r="H70" s="1445"/>
      <c r="I70" s="1445"/>
      <c r="J70" s="1446"/>
      <c r="K70" s="5"/>
    </row>
    <row r="71" spans="2:11" x14ac:dyDescent="0.25">
      <c r="B71" s="1424"/>
      <c r="C71" s="91"/>
      <c r="D71" s="1414" t="s">
        <v>976</v>
      </c>
      <c r="E71" s="1415"/>
      <c r="F71" s="1415"/>
      <c r="G71" s="1415"/>
      <c r="H71" s="1415"/>
      <c r="I71" s="1415"/>
      <c r="J71" s="1416"/>
      <c r="K71" s="5"/>
    </row>
    <row r="72" spans="2:11" ht="26.45" customHeight="1" x14ac:dyDescent="0.25">
      <c r="B72" s="1424"/>
      <c r="C72" s="91"/>
      <c r="D72" s="1414" t="s">
        <v>1039</v>
      </c>
      <c r="E72" s="1415"/>
      <c r="F72" s="1415"/>
      <c r="G72" s="1415"/>
      <c r="H72" s="1415"/>
      <c r="I72" s="1415"/>
      <c r="J72" s="1416"/>
      <c r="K72" s="5"/>
    </row>
    <row r="73" spans="2:11" ht="14.45" customHeight="1" x14ac:dyDescent="0.25">
      <c r="B73" s="1424"/>
      <c r="C73" s="91"/>
      <c r="D73" s="1414" t="s">
        <v>1040</v>
      </c>
      <c r="E73" s="1415"/>
      <c r="F73" s="1415"/>
      <c r="G73" s="1415"/>
      <c r="H73" s="1415"/>
      <c r="I73" s="1415"/>
      <c r="J73" s="1416"/>
      <c r="K73" s="5"/>
    </row>
    <row r="74" spans="2:11" ht="14.45" customHeight="1" x14ac:dyDescent="0.25">
      <c r="B74" s="1424"/>
      <c r="C74" s="91"/>
      <c r="D74" s="1414" t="s">
        <v>1041</v>
      </c>
      <c r="E74" s="1415"/>
      <c r="F74" s="1415"/>
      <c r="G74" s="1415"/>
      <c r="H74" s="1415"/>
      <c r="I74" s="1415"/>
      <c r="J74" s="1416"/>
      <c r="K74" s="5"/>
    </row>
    <row r="75" spans="2:11" ht="24" customHeight="1" thickBot="1" x14ac:dyDescent="0.3">
      <c r="B75" s="1425"/>
      <c r="C75" s="92"/>
      <c r="D75" s="1438" t="s">
        <v>1042</v>
      </c>
      <c r="E75" s="1439"/>
      <c r="F75" s="1439"/>
      <c r="G75" s="1439"/>
      <c r="H75" s="1439"/>
      <c r="I75" s="1439"/>
      <c r="J75" s="1440"/>
      <c r="K75" s="5"/>
    </row>
    <row r="76" spans="2:11" x14ac:dyDescent="0.25">
      <c r="B76" s="5"/>
      <c r="D76" s="5"/>
      <c r="E76" s="5"/>
      <c r="F76" s="5"/>
      <c r="G76" s="5"/>
      <c r="H76" s="5"/>
      <c r="I76" s="5"/>
      <c r="J76" s="5"/>
      <c r="K76" s="5"/>
    </row>
  </sheetData>
  <mergeCells count="43">
    <mergeCell ref="A4:D4"/>
    <mergeCell ref="A1:J1"/>
    <mergeCell ref="A2:J2"/>
    <mergeCell ref="A3:J3"/>
    <mergeCell ref="A5:J5"/>
    <mergeCell ref="B69:B75"/>
    <mergeCell ref="D69:J69"/>
    <mergeCell ref="D70:J70"/>
    <mergeCell ref="D71:J71"/>
    <mergeCell ref="D72:J72"/>
    <mergeCell ref="D73:J73"/>
    <mergeCell ref="D74:J74"/>
    <mergeCell ref="D75:J75"/>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D67:J67"/>
    <mergeCell ref="B10:D10"/>
    <mergeCell ref="F11:J11"/>
    <mergeCell ref="F10:J10"/>
    <mergeCell ref="E13:J13"/>
    <mergeCell ref="B50:J50"/>
    <mergeCell ref="B28:B34"/>
    <mergeCell ref="B36:E36"/>
    <mergeCell ref="B37:B43"/>
    <mergeCell ref="B15:B23"/>
    <mergeCell ref="D15:J15"/>
    <mergeCell ref="D19:J19"/>
    <mergeCell ref="D24:J24"/>
    <mergeCell ref="D25:J25"/>
    <mergeCell ref="B27:E27"/>
  </mergeCells>
  <conditionalFormatting sqref="F10">
    <cfRule type="notContainsBlanks" dxfId="124" priority="4">
      <formula>LEN(TRIM(F10))&gt;0</formula>
    </cfRule>
  </conditionalFormatting>
  <conditionalFormatting sqref="F11 K11:S11">
    <cfRule type="expression" dxfId="123" priority="2">
      <formula>E11="NO SE REPORTA"</formula>
    </cfRule>
    <cfRule type="expression" dxfId="122" priority="3">
      <formula>E10="NO APLICA"</formula>
    </cfRule>
  </conditionalFormatting>
  <conditionalFormatting sqref="E12:R12 K13:R15">
    <cfRule type="expression" dxfId="1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9" scale="75" fitToHeight="0"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U75"/>
  <sheetViews>
    <sheetView showGridLines="0" zoomScale="98" zoomScaleNormal="98" workbookViewId="0">
      <selection activeCell="G21" sqref="G21"/>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3"/>
      <c r="K1" s="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1"/>
      <c r="K2" s="5"/>
      <c r="L2"/>
      <c r="M2"/>
      <c r="N2"/>
      <c r="O2"/>
      <c r="P2"/>
      <c r="Q2"/>
      <c r="R2"/>
    </row>
    <row r="3" spans="1:21" s="388" customFormat="1" ht="32.25" customHeight="1" thickBot="1" x14ac:dyDescent="0.3">
      <c r="A3" s="1236" t="s">
        <v>841</v>
      </c>
      <c r="B3" s="1237"/>
      <c r="C3" s="1237"/>
      <c r="D3" s="1237"/>
      <c r="E3" s="1237"/>
      <c r="F3" s="1237"/>
      <c r="G3" s="1237"/>
      <c r="H3" s="1237"/>
      <c r="I3" s="1237"/>
      <c r="J3" s="1238"/>
      <c r="K3" s="5"/>
      <c r="L3"/>
      <c r="M3"/>
      <c r="N3"/>
      <c r="O3"/>
      <c r="P3"/>
      <c r="Q3"/>
      <c r="R3"/>
    </row>
    <row r="4" spans="1:21" s="388" customFormat="1" ht="16.5" thickBot="1" x14ac:dyDescent="0.3">
      <c r="A4" s="1397" t="s">
        <v>62</v>
      </c>
      <c r="B4" s="1398"/>
      <c r="C4" s="1398"/>
      <c r="D4" s="1398"/>
      <c r="E4" s="405" t="str">
        <f>'Datos Generales'!C6</f>
        <v>2022-II</v>
      </c>
      <c r="F4" s="405"/>
      <c r="G4" s="405"/>
      <c r="H4" s="405"/>
      <c r="I4" s="405"/>
      <c r="J4" s="406"/>
      <c r="K4" s="5"/>
      <c r="L4"/>
      <c r="M4"/>
      <c r="N4"/>
      <c r="O4"/>
      <c r="P4"/>
      <c r="Q4"/>
      <c r="R4"/>
    </row>
    <row r="5" spans="1:21" ht="16.5" thickBot="1" x14ac:dyDescent="0.3">
      <c r="A5" s="1236" t="s">
        <v>85</v>
      </c>
      <c r="B5" s="1237"/>
      <c r="C5" s="1237"/>
      <c r="D5" s="1237"/>
      <c r="E5" s="1237"/>
      <c r="F5" s="1237"/>
      <c r="G5" s="1237"/>
      <c r="H5" s="1237"/>
      <c r="I5" s="1237"/>
      <c r="J5" s="1238"/>
      <c r="K5" s="5"/>
    </row>
    <row r="6" spans="1:21" x14ac:dyDescent="0.25">
      <c r="B6" s="1" t="s">
        <v>878</v>
      </c>
      <c r="C6" s="75"/>
      <c r="D6" s="5"/>
      <c r="E6" s="73">
        <v>21</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INFORMACION",+F22))</f>
        <v>1</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L11" s="557"/>
      <c r="M11" s="557"/>
      <c r="N11" s="557"/>
      <c r="O11" s="557"/>
      <c r="P11" s="557"/>
      <c r="Q11" s="557"/>
      <c r="R11" s="557"/>
      <c r="S11" s="557"/>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61"/>
      <c r="F12" s="1461"/>
      <c r="G12" s="1461"/>
      <c r="H12" s="1461"/>
      <c r="I12" s="1461"/>
      <c r="J12" s="1461"/>
      <c r="K12" s="552"/>
      <c r="L12" s="552"/>
      <c r="M12" s="552"/>
      <c r="N12" s="552"/>
      <c r="O12" s="552"/>
      <c r="P12" s="552"/>
      <c r="Q12" s="552"/>
      <c r="R12" s="552"/>
    </row>
    <row r="13" spans="1:21" ht="21.95" customHeight="1" x14ac:dyDescent="0.25">
      <c r="B13" s="356"/>
      <c r="C13" s="87"/>
      <c r="D13" s="171" t="s">
        <v>887</v>
      </c>
      <c r="E13" s="1457"/>
      <c r="F13" s="1457"/>
      <c r="G13" s="1457"/>
      <c r="H13" s="1457"/>
      <c r="I13" s="1457"/>
      <c r="J13" s="1457"/>
      <c r="K13" s="552"/>
      <c r="L13" s="552"/>
      <c r="M13" s="552"/>
      <c r="N13" s="552"/>
      <c r="O13" s="552"/>
      <c r="P13" s="552"/>
      <c r="Q13" s="552"/>
      <c r="R13" s="552"/>
    </row>
    <row r="14" spans="1:21" ht="6.95" customHeight="1" thickBot="1" x14ac:dyDescent="0.3">
      <c r="B14" s="356"/>
      <c r="C14" s="87"/>
      <c r="D14" s="5"/>
      <c r="E14" s="5"/>
      <c r="F14" s="5"/>
      <c r="G14" s="5"/>
      <c r="H14" s="5"/>
      <c r="I14" s="5"/>
      <c r="J14" s="5"/>
      <c r="K14" s="552"/>
      <c r="L14" s="552"/>
      <c r="M14" s="552"/>
      <c r="N14" s="552"/>
      <c r="O14" s="552"/>
      <c r="P14" s="552"/>
      <c r="Q14" s="552"/>
      <c r="R14" s="552"/>
    </row>
    <row r="15" spans="1:21" ht="15.75" thickBot="1" x14ac:dyDescent="0.3">
      <c r="B15" s="1423" t="s">
        <v>888</v>
      </c>
      <c r="C15" s="88"/>
      <c r="D15" s="1408" t="s">
        <v>889</v>
      </c>
      <c r="E15" s="1409"/>
      <c r="F15" s="1409"/>
      <c r="G15" s="1409"/>
      <c r="H15" s="1409"/>
      <c r="I15" s="1409"/>
      <c r="J15" s="1410"/>
      <c r="K15" s="552"/>
      <c r="L15" s="552"/>
      <c r="M15" s="552"/>
      <c r="N15" s="552"/>
      <c r="O15" s="552"/>
      <c r="P15" s="552"/>
      <c r="Q15" s="552"/>
      <c r="R15" s="552"/>
    </row>
    <row r="16" spans="1:21" ht="36.75" thickBot="1" x14ac:dyDescent="0.3">
      <c r="B16" s="1424"/>
      <c r="C16" s="93"/>
      <c r="D16" s="43" t="s">
        <v>1043</v>
      </c>
      <c r="E16" s="1218">
        <v>21</v>
      </c>
      <c r="F16" s="5"/>
      <c r="G16" s="5"/>
      <c r="H16" s="5"/>
      <c r="I16" s="5"/>
      <c r="J16" s="21"/>
      <c r="K16" s="5"/>
    </row>
    <row r="17" spans="2:11" ht="48.75" thickBot="1" x14ac:dyDescent="0.3">
      <c r="B17" s="1424"/>
      <c r="C17" s="93"/>
      <c r="D17" s="40" t="s">
        <v>1044</v>
      </c>
      <c r="E17" s="1218">
        <v>21</v>
      </c>
      <c r="F17" s="5"/>
      <c r="G17" s="5"/>
      <c r="H17" s="5"/>
      <c r="I17" s="5"/>
      <c r="J17" s="21"/>
      <c r="K17" s="5"/>
    </row>
    <row r="18" spans="2:11" ht="15.75" thickBot="1" x14ac:dyDescent="0.3">
      <c r="B18" s="1424"/>
      <c r="C18" s="91"/>
      <c r="D18" s="1438"/>
      <c r="E18" s="1439"/>
      <c r="F18" s="1439"/>
      <c r="G18" s="1439"/>
      <c r="H18" s="1439"/>
      <c r="I18" s="1439"/>
      <c r="J18" s="1440"/>
      <c r="K18" s="5"/>
    </row>
    <row r="19" spans="2:11" ht="15.75" thickBot="1" x14ac:dyDescent="0.3">
      <c r="B19" s="1424"/>
      <c r="C19" s="97" t="s">
        <v>842</v>
      </c>
      <c r="D19" s="43" t="s">
        <v>1015</v>
      </c>
      <c r="E19" s="38" t="s">
        <v>909</v>
      </c>
      <c r="F19" s="38" t="s">
        <v>910</v>
      </c>
      <c r="G19" s="38" t="s">
        <v>911</v>
      </c>
      <c r="H19" s="38" t="s">
        <v>912</v>
      </c>
      <c r="I19" s="218" t="s">
        <v>846</v>
      </c>
      <c r="J19" s="110"/>
      <c r="K19" s="5"/>
    </row>
    <row r="20" spans="2:11" ht="36.75" thickBot="1" x14ac:dyDescent="0.3">
      <c r="B20" s="1424"/>
      <c r="C20" s="2" t="s">
        <v>1017</v>
      </c>
      <c r="D20" s="40" t="s">
        <v>1045</v>
      </c>
      <c r="E20" s="1218">
        <v>21</v>
      </c>
      <c r="F20" s="1218">
        <v>21</v>
      </c>
      <c r="G20" s="1218">
        <v>21</v>
      </c>
      <c r="H20" s="1218"/>
      <c r="I20" s="30"/>
      <c r="J20" s="111"/>
      <c r="K20" s="5"/>
    </row>
    <row r="21" spans="2:11" ht="36.75" thickBot="1" x14ac:dyDescent="0.3">
      <c r="B21" s="1424"/>
      <c r="C21" s="2" t="s">
        <v>1019</v>
      </c>
      <c r="D21" s="40" t="s">
        <v>1046</v>
      </c>
      <c r="E21" s="1218">
        <v>11</v>
      </c>
      <c r="F21" s="1219">
        <v>21</v>
      </c>
      <c r="G21" s="1218">
        <v>9</v>
      </c>
      <c r="H21" s="1218"/>
      <c r="I21" s="30"/>
      <c r="J21" s="111"/>
      <c r="K21" s="5"/>
    </row>
    <row r="22" spans="2:11" ht="36.75" thickBot="1" x14ac:dyDescent="0.3">
      <c r="B22" s="1425"/>
      <c r="C22" s="2" t="s">
        <v>1021</v>
      </c>
      <c r="D22" s="40" t="s">
        <v>1047</v>
      </c>
      <c r="E22" s="1220">
        <f>IFERROR(E21/E20,"N.A.")</f>
        <v>0.52380952380952384</v>
      </c>
      <c r="F22" s="1220">
        <f>IFERROR(F21/F20,"N.A.")</f>
        <v>1</v>
      </c>
      <c r="G22" s="1220">
        <f>IFERROR(G21/G20,"N.A.")</f>
        <v>0.42857142857142855</v>
      </c>
      <c r="H22" s="1220" t="str">
        <f>IFERROR(H21/H20,"N.A.")</f>
        <v>N.A.</v>
      </c>
      <c r="I22" s="355"/>
      <c r="J22" s="112"/>
      <c r="K22" s="5"/>
    </row>
    <row r="23" spans="2:11" ht="24" customHeight="1" thickBot="1" x14ac:dyDescent="0.3">
      <c r="B23" s="46" t="s">
        <v>924</v>
      </c>
      <c r="C23" s="92"/>
      <c r="D23" s="1435" t="s">
        <v>1048</v>
      </c>
      <c r="E23" s="1436"/>
      <c r="F23" s="1436"/>
      <c r="G23" s="1436"/>
      <c r="H23" s="1436"/>
      <c r="I23" s="1436"/>
      <c r="J23" s="1437"/>
      <c r="K23" s="5"/>
    </row>
    <row r="24" spans="2:11" ht="24.75" thickBot="1" x14ac:dyDescent="0.3">
      <c r="B24" s="46" t="s">
        <v>926</v>
      </c>
      <c r="C24" s="92"/>
      <c r="D24" s="1435" t="s">
        <v>1024</v>
      </c>
      <c r="E24" s="1436"/>
      <c r="F24" s="1436"/>
      <c r="G24" s="1436"/>
      <c r="H24" s="1436"/>
      <c r="I24" s="1436"/>
      <c r="J24" s="1437"/>
      <c r="K24" s="5"/>
    </row>
    <row r="25" spans="2:11" ht="15.75" thickBot="1" x14ac:dyDescent="0.3">
      <c r="B25" s="1"/>
      <c r="C25" s="75"/>
      <c r="D25" s="5"/>
      <c r="E25" s="5"/>
      <c r="F25" s="5"/>
      <c r="G25" s="5"/>
      <c r="H25" s="5"/>
      <c r="I25" s="5"/>
      <c r="J25" s="5"/>
      <c r="K25" s="5"/>
    </row>
    <row r="26" spans="2:11" ht="24" customHeight="1" thickBot="1" x14ac:dyDescent="0.3">
      <c r="B26" s="1426" t="s">
        <v>928</v>
      </c>
      <c r="C26" s="1427"/>
      <c r="D26" s="1427"/>
      <c r="E26" s="1428"/>
      <c r="F26" s="5"/>
      <c r="G26" s="5"/>
      <c r="H26" s="5"/>
      <c r="I26" s="5"/>
      <c r="J26" s="5"/>
      <c r="K26" s="5"/>
    </row>
    <row r="27" spans="2:11" ht="15.75" thickBot="1" x14ac:dyDescent="0.3">
      <c r="B27" s="1423">
        <v>1</v>
      </c>
      <c r="C27" s="93"/>
      <c r="D27" s="47" t="s">
        <v>929</v>
      </c>
      <c r="E27" s="30" t="s">
        <v>2093</v>
      </c>
      <c r="F27" s="5"/>
      <c r="G27" s="5"/>
      <c r="H27" s="5"/>
      <c r="I27" s="5"/>
      <c r="J27" s="5"/>
      <c r="K27" s="5"/>
    </row>
    <row r="28" spans="2:11" ht="15.75" thickBot="1" x14ac:dyDescent="0.3">
      <c r="B28" s="1424"/>
      <c r="C28" s="93"/>
      <c r="D28" s="40" t="s">
        <v>7</v>
      </c>
      <c r="E28" s="30" t="s">
        <v>2098</v>
      </c>
      <c r="F28" s="5"/>
      <c r="G28" s="5"/>
      <c r="H28" s="5"/>
      <c r="I28" s="5"/>
      <c r="J28" s="5"/>
      <c r="K28" s="5"/>
    </row>
    <row r="29" spans="2:11" ht="15.75" thickBot="1" x14ac:dyDescent="0.3">
      <c r="B29" s="1424"/>
      <c r="C29" s="93"/>
      <c r="D29" s="40" t="s">
        <v>930</v>
      </c>
      <c r="E29" s="30" t="s">
        <v>2099</v>
      </c>
      <c r="F29" s="5"/>
      <c r="G29" s="5"/>
      <c r="H29" s="5"/>
      <c r="I29" s="5"/>
      <c r="J29" s="5"/>
      <c r="K29" s="5"/>
    </row>
    <row r="30" spans="2:11" ht="15.75" thickBot="1" x14ac:dyDescent="0.3">
      <c r="B30" s="1424"/>
      <c r="C30" s="93"/>
      <c r="D30" s="40" t="s">
        <v>9</v>
      </c>
      <c r="E30" s="30" t="s">
        <v>2095</v>
      </c>
      <c r="F30" s="5"/>
      <c r="G30" s="5"/>
      <c r="H30" s="5"/>
      <c r="I30" s="5"/>
      <c r="J30" s="5"/>
      <c r="K30" s="5"/>
    </row>
    <row r="31" spans="2:11" ht="15.75" thickBot="1" x14ac:dyDescent="0.3">
      <c r="B31" s="1424"/>
      <c r="C31" s="93"/>
      <c r="D31" s="40" t="s">
        <v>11</v>
      </c>
      <c r="E31" s="30" t="s">
        <v>2100</v>
      </c>
      <c r="F31" s="5"/>
      <c r="G31" s="5"/>
      <c r="H31" s="5"/>
      <c r="I31" s="5"/>
      <c r="J31" s="5"/>
      <c r="K31" s="5"/>
    </row>
    <row r="32" spans="2:11" ht="15.75" thickBot="1" x14ac:dyDescent="0.3">
      <c r="B32" s="1424"/>
      <c r="C32" s="93"/>
      <c r="D32" s="40" t="s">
        <v>13</v>
      </c>
      <c r="E32" s="30">
        <v>6695278</v>
      </c>
      <c r="F32" s="5"/>
      <c r="G32" s="5"/>
      <c r="H32" s="5"/>
      <c r="I32" s="5"/>
      <c r="J32" s="5"/>
      <c r="K32" s="5"/>
    </row>
    <row r="33" spans="2:11" ht="15.75" thickBot="1" x14ac:dyDescent="0.3">
      <c r="B33" s="1425"/>
      <c r="C33" s="2"/>
      <c r="D33" s="40" t="s">
        <v>931</v>
      </c>
      <c r="E33" s="30" t="s">
        <v>2097</v>
      </c>
      <c r="F33" s="5"/>
      <c r="G33" s="5"/>
      <c r="H33" s="5"/>
      <c r="I33" s="5"/>
      <c r="J33" s="5"/>
      <c r="K33" s="5"/>
    </row>
    <row r="34" spans="2:11" ht="15.75" thickBot="1" x14ac:dyDescent="0.3">
      <c r="B34" s="1"/>
      <c r="C34" s="75"/>
      <c r="D34" s="5"/>
      <c r="E34" s="5"/>
      <c r="F34" s="5"/>
      <c r="G34" s="5"/>
      <c r="H34" s="5"/>
      <c r="I34" s="5"/>
      <c r="J34" s="5"/>
      <c r="K34" s="5"/>
    </row>
    <row r="35" spans="2:11" ht="15.75" thickBot="1" x14ac:dyDescent="0.3">
      <c r="B35" s="1426" t="s">
        <v>932</v>
      </c>
      <c r="C35" s="1427"/>
      <c r="D35" s="1427"/>
      <c r="E35" s="1428"/>
      <c r="F35" s="5"/>
      <c r="G35" s="5"/>
      <c r="H35" s="5"/>
      <c r="I35" s="5"/>
      <c r="J35" s="5"/>
      <c r="K35" s="5"/>
    </row>
    <row r="36" spans="2:11" ht="15.75" thickBot="1" x14ac:dyDescent="0.3">
      <c r="B36" s="1423">
        <v>1</v>
      </c>
      <c r="C36" s="93"/>
      <c r="D36" s="47" t="s">
        <v>929</v>
      </c>
      <c r="E36" s="233" t="s">
        <v>933</v>
      </c>
      <c r="F36" s="5"/>
      <c r="G36" s="5"/>
      <c r="H36" s="5"/>
      <c r="I36" s="5"/>
      <c r="J36" s="5"/>
      <c r="K36" s="5"/>
    </row>
    <row r="37" spans="2:11" ht="15.75" thickBot="1" x14ac:dyDescent="0.3">
      <c r="B37" s="1424"/>
      <c r="C37" s="93"/>
      <c r="D37" s="40" t="s">
        <v>7</v>
      </c>
      <c r="E37" s="233" t="s">
        <v>934</v>
      </c>
      <c r="F37" s="5"/>
      <c r="G37" s="5"/>
      <c r="H37" s="5"/>
      <c r="I37" s="5"/>
      <c r="J37" s="5"/>
      <c r="K37" s="5"/>
    </row>
    <row r="38" spans="2:11" ht="15.75" thickBot="1" x14ac:dyDescent="0.3">
      <c r="B38" s="1424"/>
      <c r="C38" s="93"/>
      <c r="D38" s="40" t="s">
        <v>930</v>
      </c>
      <c r="E38" s="237"/>
      <c r="F38" s="5"/>
      <c r="G38" s="5"/>
      <c r="H38" s="5"/>
      <c r="I38" s="5"/>
      <c r="J38" s="5"/>
      <c r="K38" s="5"/>
    </row>
    <row r="39" spans="2:11" ht="15.75" thickBot="1" x14ac:dyDescent="0.3">
      <c r="B39" s="1424"/>
      <c r="C39" s="93"/>
      <c r="D39" s="40" t="s">
        <v>9</v>
      </c>
      <c r="E39" s="237"/>
      <c r="F39" s="5"/>
      <c r="G39" s="5"/>
      <c r="H39" s="5"/>
      <c r="I39" s="5"/>
      <c r="J39" s="5"/>
      <c r="K39" s="5"/>
    </row>
    <row r="40" spans="2:11" ht="15.75" thickBot="1" x14ac:dyDescent="0.3">
      <c r="B40" s="1424"/>
      <c r="C40" s="93"/>
      <c r="D40" s="40" t="s">
        <v>11</v>
      </c>
      <c r="E40" s="237"/>
      <c r="F40" s="5"/>
      <c r="G40" s="5"/>
      <c r="H40" s="5"/>
      <c r="I40" s="5"/>
      <c r="J40" s="5"/>
      <c r="K40" s="5"/>
    </row>
    <row r="41" spans="2:11" ht="15.75" thickBot="1" x14ac:dyDescent="0.3">
      <c r="B41" s="1424"/>
      <c r="C41" s="93"/>
      <c r="D41" s="40" t="s">
        <v>13</v>
      </c>
      <c r="E41" s="237"/>
      <c r="F41" s="5"/>
      <c r="G41" s="5"/>
      <c r="H41" s="5"/>
      <c r="I41" s="5"/>
      <c r="J41" s="5"/>
      <c r="K41" s="5"/>
    </row>
    <row r="42" spans="2:11" ht="15.75" thickBot="1" x14ac:dyDescent="0.3">
      <c r="B42" s="1425"/>
      <c r="C42" s="2"/>
      <c r="D42" s="40" t="s">
        <v>931</v>
      </c>
      <c r="E42" s="237"/>
      <c r="F42" s="5"/>
      <c r="G42" s="5"/>
      <c r="H42" s="5"/>
      <c r="I42" s="5"/>
      <c r="J42" s="5"/>
      <c r="K42" s="5"/>
    </row>
    <row r="43" spans="2:11" ht="15.75" thickBot="1" x14ac:dyDescent="0.3">
      <c r="B43" s="1"/>
      <c r="C43" s="75"/>
      <c r="D43" s="5"/>
      <c r="E43" s="5"/>
      <c r="F43" s="5"/>
      <c r="G43" s="5"/>
      <c r="H43" s="5"/>
      <c r="I43" s="5"/>
      <c r="J43" s="5"/>
      <c r="K43" s="5"/>
    </row>
    <row r="44" spans="2:11" ht="15" customHeight="1" thickBot="1" x14ac:dyDescent="0.3">
      <c r="B44" s="236" t="s">
        <v>935</v>
      </c>
      <c r="C44" s="119"/>
      <c r="D44" s="119"/>
      <c r="E44" s="120"/>
      <c r="G44" s="5"/>
      <c r="H44" s="5"/>
      <c r="I44" s="5"/>
      <c r="J44" s="5"/>
      <c r="K44" s="5"/>
    </row>
    <row r="45" spans="2:11" ht="24.75" thickBot="1" x14ac:dyDescent="0.3">
      <c r="B45" s="46" t="s">
        <v>936</v>
      </c>
      <c r="C45" s="40" t="s">
        <v>937</v>
      </c>
      <c r="D45" s="40" t="s">
        <v>938</v>
      </c>
      <c r="E45" s="40" t="s">
        <v>939</v>
      </c>
      <c r="F45" s="5"/>
      <c r="G45" s="5"/>
      <c r="H45" s="5"/>
      <c r="I45" s="5"/>
      <c r="J45" s="5"/>
    </row>
    <row r="46" spans="2:11" ht="72.75" thickBot="1" x14ac:dyDescent="0.3">
      <c r="B46" s="48">
        <v>42401</v>
      </c>
      <c r="C46" s="40">
        <v>0.01</v>
      </c>
      <c r="D46" s="67" t="s">
        <v>1049</v>
      </c>
      <c r="E46" s="40"/>
      <c r="F46" s="5"/>
      <c r="G46" s="5"/>
      <c r="H46" s="5"/>
      <c r="I46" s="5"/>
      <c r="J46" s="5"/>
    </row>
    <row r="47" spans="2:11" ht="15.75" thickBot="1" x14ac:dyDescent="0.3">
      <c r="B47" s="3"/>
      <c r="C47" s="94"/>
      <c r="D47" s="5"/>
      <c r="E47" s="5"/>
      <c r="F47" s="5"/>
      <c r="G47" s="5"/>
      <c r="H47" s="5"/>
      <c r="I47" s="5"/>
      <c r="J47" s="5"/>
      <c r="K47" s="5"/>
    </row>
    <row r="48" spans="2:11" x14ac:dyDescent="0.25">
      <c r="B48" s="128" t="s">
        <v>846</v>
      </c>
      <c r="C48" s="95"/>
      <c r="D48" s="5"/>
      <c r="E48" s="5"/>
      <c r="F48" s="5"/>
      <c r="G48" s="5"/>
      <c r="H48" s="5"/>
      <c r="I48" s="5"/>
      <c r="J48" s="5"/>
      <c r="K48" s="5"/>
    </row>
    <row r="49" spans="2:11" x14ac:dyDescent="0.25">
      <c r="B49" s="1462"/>
      <c r="C49" s="1463"/>
      <c r="D49" s="1463"/>
      <c r="E49" s="1464"/>
      <c r="F49" s="5"/>
      <c r="G49" s="5"/>
      <c r="H49" s="5"/>
      <c r="I49" s="5"/>
      <c r="J49" s="5"/>
      <c r="K49" s="5"/>
    </row>
    <row r="50" spans="2:11" ht="15.75" thickBot="1" x14ac:dyDescent="0.3">
      <c r="B50" s="5"/>
      <c r="D50" s="5"/>
      <c r="E50" s="5"/>
      <c r="F50" s="5"/>
      <c r="G50" s="5"/>
      <c r="H50" s="5"/>
      <c r="I50" s="5"/>
      <c r="J50" s="5"/>
      <c r="K50" s="5"/>
    </row>
    <row r="51" spans="2:11" ht="24.75" thickBot="1" x14ac:dyDescent="0.3">
      <c r="B51" s="50" t="s">
        <v>941</v>
      </c>
      <c r="C51" s="96"/>
      <c r="D51" s="5"/>
      <c r="E51" s="5"/>
      <c r="F51" s="5"/>
      <c r="G51" s="5"/>
      <c r="H51" s="5"/>
      <c r="I51" s="5"/>
      <c r="J51" s="5"/>
      <c r="K51" s="5"/>
    </row>
    <row r="52" spans="2:11" ht="15.75" thickBot="1" x14ac:dyDescent="0.3">
      <c r="B52" s="1"/>
      <c r="C52" s="75"/>
      <c r="D52" s="5"/>
      <c r="E52" s="5"/>
      <c r="F52" s="5"/>
      <c r="G52" s="5"/>
      <c r="H52" s="5"/>
      <c r="I52" s="5"/>
      <c r="J52" s="5"/>
      <c r="K52" s="5"/>
    </row>
    <row r="53" spans="2:11" ht="60.75" thickBot="1" x14ac:dyDescent="0.3">
      <c r="B53" s="51" t="s">
        <v>942</v>
      </c>
      <c r="C53" s="97"/>
      <c r="D53" s="43" t="s">
        <v>1050</v>
      </c>
      <c r="E53" s="5"/>
      <c r="F53" s="5"/>
      <c r="G53" s="5"/>
      <c r="H53" s="5"/>
      <c r="I53" s="5"/>
      <c r="J53" s="5"/>
      <c r="K53" s="5"/>
    </row>
    <row r="54" spans="2:11" x14ac:dyDescent="0.25">
      <c r="B54" s="1423" t="s">
        <v>944</v>
      </c>
      <c r="C54" s="93"/>
      <c r="D54" s="52" t="s">
        <v>945</v>
      </c>
      <c r="E54" s="5"/>
      <c r="F54" s="5"/>
      <c r="G54" s="5"/>
      <c r="H54" s="5"/>
      <c r="I54" s="5"/>
      <c r="J54" s="5"/>
      <c r="K54" s="5"/>
    </row>
    <row r="55" spans="2:11" ht="60" x14ac:dyDescent="0.25">
      <c r="B55" s="1424"/>
      <c r="C55" s="93"/>
      <c r="D55" s="45" t="s">
        <v>1051</v>
      </c>
      <c r="E55" s="5"/>
      <c r="F55" s="5"/>
      <c r="G55" s="5"/>
      <c r="H55" s="5"/>
      <c r="I55" s="5"/>
      <c r="J55" s="5"/>
      <c r="K55" s="5"/>
    </row>
    <row r="56" spans="2:11" x14ac:dyDescent="0.25">
      <c r="B56" s="1424"/>
      <c r="C56" s="93"/>
      <c r="D56" s="52" t="s">
        <v>1029</v>
      </c>
      <c r="E56" s="5"/>
      <c r="F56" s="5"/>
      <c r="G56" s="5"/>
      <c r="H56" s="5"/>
      <c r="I56" s="5"/>
      <c r="J56" s="5"/>
      <c r="K56" s="5"/>
    </row>
    <row r="57" spans="2:11" x14ac:dyDescent="0.25">
      <c r="B57" s="1424"/>
      <c r="C57" s="93"/>
      <c r="D57" s="45" t="s">
        <v>949</v>
      </c>
      <c r="E57" s="5"/>
      <c r="F57" s="5"/>
      <c r="G57" s="5"/>
      <c r="H57" s="5"/>
      <c r="I57" s="5"/>
      <c r="J57" s="5"/>
      <c r="K57" s="5"/>
    </row>
    <row r="58" spans="2:11" x14ac:dyDescent="0.25">
      <c r="B58" s="1424"/>
      <c r="C58" s="93"/>
      <c r="D58" s="45" t="s">
        <v>1052</v>
      </c>
      <c r="E58" s="5"/>
      <c r="F58" s="5"/>
      <c r="G58" s="5"/>
      <c r="H58" s="5"/>
      <c r="I58" s="5"/>
      <c r="J58" s="5"/>
      <c r="K58" s="5"/>
    </row>
    <row r="59" spans="2:11" x14ac:dyDescent="0.25">
      <c r="B59" s="1424"/>
      <c r="C59" s="93"/>
      <c r="D59" s="45" t="s">
        <v>1053</v>
      </c>
      <c r="E59" s="5"/>
      <c r="F59" s="5"/>
      <c r="G59" s="5"/>
      <c r="H59" s="5"/>
      <c r="I59" s="5"/>
      <c r="J59" s="5"/>
      <c r="K59" s="5"/>
    </row>
    <row r="60" spans="2:11" x14ac:dyDescent="0.25">
      <c r="B60" s="1424"/>
      <c r="C60" s="93"/>
      <c r="D60" s="45" t="s">
        <v>1054</v>
      </c>
      <c r="E60" s="5"/>
      <c r="F60" s="5"/>
      <c r="G60" s="5"/>
      <c r="H60" s="5"/>
      <c r="I60" s="5"/>
      <c r="J60" s="5"/>
      <c r="K60" s="5"/>
    </row>
    <row r="61" spans="2:11" x14ac:dyDescent="0.25">
      <c r="B61" s="1424"/>
      <c r="C61" s="93"/>
      <c r="D61" s="45" t="s">
        <v>1055</v>
      </c>
      <c r="E61" s="5"/>
      <c r="F61" s="5"/>
      <c r="G61" s="5"/>
      <c r="H61" s="5"/>
      <c r="I61" s="5"/>
      <c r="J61" s="5"/>
      <c r="K61" s="5"/>
    </row>
    <row r="62" spans="2:11" ht="15.75" thickBot="1" x14ac:dyDescent="0.3">
      <c r="B62" s="1425"/>
      <c r="C62" s="2"/>
      <c r="D62" s="67"/>
      <c r="E62" s="5"/>
      <c r="F62" s="5"/>
      <c r="G62" s="5"/>
      <c r="H62" s="5"/>
      <c r="I62" s="5"/>
      <c r="J62" s="5"/>
      <c r="K62" s="5"/>
    </row>
    <row r="63" spans="2:11" ht="24.75" thickBot="1" x14ac:dyDescent="0.3">
      <c r="B63" s="46" t="s">
        <v>957</v>
      </c>
      <c r="C63" s="2"/>
      <c r="D63" s="40"/>
      <c r="E63" s="5"/>
      <c r="F63" s="5"/>
      <c r="G63" s="5"/>
      <c r="H63" s="5"/>
      <c r="I63" s="5"/>
      <c r="J63" s="5"/>
      <c r="K63" s="5"/>
    </row>
    <row r="64" spans="2:11" ht="108" x14ac:dyDescent="0.25">
      <c r="B64" s="1423" t="s">
        <v>958</v>
      </c>
      <c r="C64" s="93"/>
      <c r="D64" s="45" t="s">
        <v>1056</v>
      </c>
      <c r="E64" s="5"/>
      <c r="F64" s="5"/>
      <c r="G64" s="5"/>
      <c r="H64" s="5"/>
      <c r="I64" s="5"/>
      <c r="J64" s="5"/>
      <c r="K64" s="5"/>
    </row>
    <row r="65" spans="2:11" ht="96" x14ac:dyDescent="0.25">
      <c r="B65" s="1424"/>
      <c r="C65" s="93"/>
      <c r="D65" s="45" t="s">
        <v>1057</v>
      </c>
      <c r="E65" s="5"/>
      <c r="F65" s="5"/>
      <c r="G65" s="5"/>
      <c r="H65" s="5"/>
      <c r="I65" s="5"/>
      <c r="J65" s="5"/>
      <c r="K65" s="5"/>
    </row>
    <row r="66" spans="2:11" ht="120.75" thickBot="1" x14ac:dyDescent="0.3">
      <c r="B66" s="1425"/>
      <c r="C66" s="2"/>
      <c r="D66" s="40" t="s">
        <v>1058</v>
      </c>
      <c r="E66" s="5"/>
      <c r="F66" s="5"/>
      <c r="G66" s="5"/>
      <c r="H66" s="5"/>
      <c r="I66" s="5"/>
      <c r="J66" s="5"/>
      <c r="K66" s="5"/>
    </row>
    <row r="67" spans="2:11" x14ac:dyDescent="0.25">
      <c r="B67" s="1423" t="s">
        <v>975</v>
      </c>
      <c r="C67" s="93"/>
      <c r="D67" s="45"/>
      <c r="E67" s="5"/>
      <c r="F67" s="5"/>
      <c r="G67" s="5"/>
      <c r="H67" s="5"/>
      <c r="I67" s="5"/>
      <c r="J67" s="5"/>
      <c r="K67" s="5"/>
    </row>
    <row r="68" spans="2:11" x14ac:dyDescent="0.25">
      <c r="B68" s="1424"/>
      <c r="C68" s="93"/>
      <c r="D68" s="16"/>
      <c r="E68" s="5"/>
      <c r="F68" s="5"/>
      <c r="G68" s="5"/>
      <c r="H68" s="5"/>
      <c r="I68" s="5"/>
      <c r="J68" s="5"/>
      <c r="K68" s="5"/>
    </row>
    <row r="69" spans="2:11" x14ac:dyDescent="0.25">
      <c r="B69" s="1424"/>
      <c r="C69" s="93"/>
      <c r="D69" s="45" t="s">
        <v>976</v>
      </c>
      <c r="E69" s="5"/>
      <c r="F69" s="5"/>
      <c r="G69" s="5"/>
      <c r="H69" s="5"/>
      <c r="I69" s="5"/>
      <c r="J69" s="5"/>
      <c r="K69" s="5"/>
    </row>
    <row r="70" spans="2:11" ht="37.5" x14ac:dyDescent="0.25">
      <c r="B70" s="1424"/>
      <c r="C70" s="93"/>
      <c r="D70" s="45" t="s">
        <v>1059</v>
      </c>
      <c r="E70" s="5"/>
      <c r="F70" s="5"/>
      <c r="G70" s="5"/>
      <c r="H70" s="5"/>
      <c r="I70" s="5"/>
      <c r="J70" s="5"/>
      <c r="K70" s="5"/>
    </row>
    <row r="71" spans="2:11" ht="37.5" x14ac:dyDescent="0.25">
      <c r="B71" s="1424"/>
      <c r="C71" s="93"/>
      <c r="D71" s="45" t="s">
        <v>1060</v>
      </c>
      <c r="E71" s="5"/>
      <c r="F71" s="5"/>
      <c r="G71" s="5"/>
      <c r="H71" s="5"/>
      <c r="I71" s="5"/>
      <c r="J71" s="5"/>
      <c r="K71" s="5"/>
    </row>
    <row r="72" spans="2:11" ht="37.5" x14ac:dyDescent="0.25">
      <c r="B72" s="1424"/>
      <c r="C72" s="93"/>
      <c r="D72" s="45" t="s">
        <v>1061</v>
      </c>
      <c r="E72" s="5"/>
      <c r="F72" s="5"/>
      <c r="G72" s="5"/>
      <c r="H72" s="5"/>
      <c r="I72" s="5"/>
      <c r="J72" s="5"/>
      <c r="K72" s="5"/>
    </row>
    <row r="73" spans="2:11" ht="48.75" thickBot="1" x14ac:dyDescent="0.3">
      <c r="B73" s="1425"/>
      <c r="C73" s="2"/>
      <c r="D73" s="40" t="s">
        <v>1062</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sheetData>
  <mergeCells count="21">
    <mergeCell ref="A4:D4"/>
    <mergeCell ref="A1:J1"/>
    <mergeCell ref="A2:J2"/>
    <mergeCell ref="A3:J3"/>
    <mergeCell ref="A5:J5"/>
    <mergeCell ref="B10:D10"/>
    <mergeCell ref="E12:J12"/>
    <mergeCell ref="E13:J13"/>
    <mergeCell ref="B67:B73"/>
    <mergeCell ref="B15:B22"/>
    <mergeCell ref="D23:J23"/>
    <mergeCell ref="D24:J24"/>
    <mergeCell ref="B26:E26"/>
    <mergeCell ref="B27:B33"/>
    <mergeCell ref="B35:E35"/>
    <mergeCell ref="D15:J15"/>
    <mergeCell ref="D18:J18"/>
    <mergeCell ref="B36:B42"/>
    <mergeCell ref="B54:B62"/>
    <mergeCell ref="B64:B66"/>
    <mergeCell ref="B49:E49"/>
  </mergeCells>
  <conditionalFormatting sqref="F10">
    <cfRule type="notContainsBlanks" dxfId="120" priority="4">
      <formula>LEN(TRIM(F10))&gt;0</formula>
    </cfRule>
  </conditionalFormatting>
  <conditionalFormatting sqref="F11:S11">
    <cfRule type="expression" dxfId="119" priority="2">
      <formula>E11="NO SE REPORTA"</formula>
    </cfRule>
    <cfRule type="expression" dxfId="118" priority="3">
      <formula>E10="NO APLICA"</formula>
    </cfRule>
  </conditionalFormatting>
  <conditionalFormatting sqref="E12 K12:R15">
    <cfRule type="expression" dxfId="117"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scale="76" fitToHeight="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U75"/>
  <sheetViews>
    <sheetView showGridLines="0" zoomScale="98" zoomScaleNormal="98" workbookViewId="0">
      <selection activeCell="G21" sqref="G21:G22"/>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3"/>
      <c r="K1" s="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1"/>
      <c r="K2" s="5"/>
      <c r="L2"/>
      <c r="M2"/>
      <c r="N2"/>
      <c r="O2"/>
      <c r="P2"/>
      <c r="Q2"/>
      <c r="R2"/>
    </row>
    <row r="3" spans="1:21" s="388" customFormat="1" ht="16.5" customHeight="1" thickBot="1" x14ac:dyDescent="0.3">
      <c r="A3" s="1236" t="s">
        <v>841</v>
      </c>
      <c r="B3" s="1237"/>
      <c r="C3" s="1237"/>
      <c r="D3" s="1237"/>
      <c r="E3" s="1237"/>
      <c r="F3" s="1237"/>
      <c r="G3" s="1237"/>
      <c r="H3" s="1237"/>
      <c r="I3" s="1237"/>
      <c r="J3" s="1238"/>
      <c r="K3" s="5"/>
      <c r="L3"/>
      <c r="M3"/>
      <c r="N3"/>
      <c r="O3"/>
      <c r="P3"/>
      <c r="Q3"/>
      <c r="R3"/>
    </row>
    <row r="4" spans="1:21" s="388" customFormat="1" ht="16.5" thickBot="1" x14ac:dyDescent="0.3">
      <c r="A4" s="1397" t="s">
        <v>62</v>
      </c>
      <c r="B4" s="1398"/>
      <c r="C4" s="1398"/>
      <c r="D4" s="1398"/>
      <c r="E4" s="405" t="str">
        <f>'Datos Generales'!C6</f>
        <v>2022-II</v>
      </c>
      <c r="F4" s="405"/>
      <c r="G4" s="405"/>
      <c r="H4" s="405"/>
      <c r="I4" s="405"/>
      <c r="J4" s="406"/>
      <c r="K4" s="5"/>
      <c r="L4"/>
      <c r="M4"/>
      <c r="N4"/>
      <c r="O4"/>
      <c r="P4"/>
      <c r="Q4"/>
      <c r="R4"/>
    </row>
    <row r="5" spans="1:21" ht="16.5" customHeight="1" thickBot="1" x14ac:dyDescent="0.3">
      <c r="A5" s="1236" t="s">
        <v>87</v>
      </c>
      <c r="B5" s="1237"/>
      <c r="C5" s="1237"/>
      <c r="D5" s="1237"/>
      <c r="E5" s="1237"/>
      <c r="F5" s="1237"/>
      <c r="G5" s="1237"/>
      <c r="H5" s="1237"/>
      <c r="I5" s="1237"/>
      <c r="J5" s="1238"/>
      <c r="K5" s="5"/>
    </row>
    <row r="6" spans="1:21" x14ac:dyDescent="0.25">
      <c r="B6" s="1" t="s">
        <v>878</v>
      </c>
      <c r="C6" s="75"/>
      <c r="D6" s="5"/>
      <c r="E6" s="73">
        <v>3</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+F23</f>
        <v>0</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5"/>
      <c r="L11" s="555"/>
      <c r="M11" s="555"/>
      <c r="N11" s="555"/>
      <c r="O11" s="555"/>
      <c r="P11" s="555"/>
      <c r="Q11" s="555"/>
      <c r="R11" s="555"/>
      <c r="S11" s="557"/>
    </row>
    <row r="12" spans="1:21" x14ac:dyDescent="0.25">
      <c r="B12" s="356"/>
      <c r="C12" s="87"/>
      <c r="D12" s="171" t="str">
        <f>IF(E11="SI SE REPORTA","¿Qué programas o proyectos del Plan de Acción están asociados al indicador? ","")</f>
        <v xml:space="preserve">¿Qué programas o proyectos del Plan de Acción están asociados al indicador? </v>
      </c>
      <c r="E12" s="1461"/>
      <c r="F12" s="1461"/>
      <c r="G12" s="1461"/>
      <c r="H12" s="1461"/>
      <c r="I12" s="1461"/>
      <c r="J12" s="1461"/>
      <c r="K12" s="555"/>
      <c r="L12" s="555"/>
      <c r="M12" s="555"/>
      <c r="N12" s="555"/>
      <c r="O12" s="555"/>
      <c r="P12" s="555"/>
      <c r="Q12" s="555"/>
      <c r="R12" s="555"/>
    </row>
    <row r="13" spans="1:21" x14ac:dyDescent="0.25">
      <c r="B13" s="356"/>
      <c r="C13" s="87"/>
      <c r="D13" s="171" t="s">
        <v>887</v>
      </c>
      <c r="E13" s="1457"/>
      <c r="F13" s="1457"/>
      <c r="G13" s="1457"/>
      <c r="H13" s="1457"/>
      <c r="I13" s="1457"/>
      <c r="J13" s="1457"/>
      <c r="K13" s="555"/>
      <c r="L13" s="555"/>
      <c r="M13" s="555"/>
      <c r="N13" s="555"/>
      <c r="O13" s="555"/>
      <c r="P13" s="555"/>
      <c r="Q13" s="555"/>
      <c r="R13" s="555"/>
    </row>
    <row r="14" spans="1:21" ht="6.95" customHeight="1" thickBot="1" x14ac:dyDescent="0.3">
      <c r="B14" s="356"/>
      <c r="C14" s="87"/>
      <c r="D14" s="5"/>
      <c r="E14" s="5"/>
      <c r="F14" s="5"/>
      <c r="G14" s="5"/>
      <c r="H14" s="5"/>
      <c r="I14" s="5"/>
      <c r="J14" s="5"/>
      <c r="K14" s="555"/>
      <c r="L14" s="555"/>
      <c r="M14" s="555"/>
      <c r="N14" s="555"/>
      <c r="O14" s="555"/>
      <c r="P14" s="555"/>
      <c r="Q14" s="555"/>
      <c r="R14" s="555"/>
    </row>
    <row r="15" spans="1:21" ht="15.75" thickBot="1" x14ac:dyDescent="0.3">
      <c r="B15" s="1423" t="s">
        <v>888</v>
      </c>
      <c r="C15" s="88"/>
      <c r="D15" s="1408" t="s">
        <v>889</v>
      </c>
      <c r="E15" s="1409"/>
      <c r="F15" s="1409"/>
      <c r="G15" s="1409"/>
      <c r="H15" s="1409"/>
      <c r="I15" s="1409"/>
      <c r="J15" s="1410"/>
      <c r="K15" s="5"/>
    </row>
    <row r="16" spans="1:21" ht="24.75" thickBot="1" x14ac:dyDescent="0.3">
      <c r="B16" s="1424"/>
      <c r="C16" s="93"/>
      <c r="D16" s="43" t="s">
        <v>1063</v>
      </c>
      <c r="E16" s="205">
        <v>4</v>
      </c>
      <c r="F16" s="5"/>
      <c r="G16" s="5"/>
      <c r="H16" s="5"/>
      <c r="I16" s="5"/>
      <c r="J16" s="21"/>
      <c r="K16" s="5"/>
    </row>
    <row r="17" spans="2:11" ht="36.75" thickBot="1" x14ac:dyDescent="0.3">
      <c r="B17" s="1424"/>
      <c r="C17" s="93"/>
      <c r="D17" s="40" t="s">
        <v>2660</v>
      </c>
      <c r="E17" s="205">
        <v>1</v>
      </c>
      <c r="F17" s="5"/>
      <c r="G17" s="5"/>
      <c r="H17" s="5"/>
      <c r="I17" s="5"/>
      <c r="J17" s="21"/>
      <c r="K17" s="5"/>
    </row>
    <row r="18" spans="2:11" ht="36.75" thickBot="1" x14ac:dyDescent="0.3">
      <c r="B18" s="1424"/>
      <c r="C18" s="93"/>
      <c r="D18" s="40" t="s">
        <v>1064</v>
      </c>
      <c r="E18" s="205">
        <v>3</v>
      </c>
      <c r="F18" s="5"/>
      <c r="G18" s="5"/>
      <c r="H18" s="5"/>
      <c r="I18" s="5"/>
      <c r="J18" s="21"/>
      <c r="K18" s="5"/>
    </row>
    <row r="19" spans="2:11" ht="15.75" thickBot="1" x14ac:dyDescent="0.3">
      <c r="B19" s="1424"/>
      <c r="C19" s="91"/>
      <c r="D19" s="1438"/>
      <c r="E19" s="1439"/>
      <c r="F19" s="1439"/>
      <c r="G19" s="1439"/>
      <c r="H19" s="1439"/>
      <c r="I19" s="1439"/>
      <c r="J19" s="1440"/>
      <c r="K19" s="5"/>
    </row>
    <row r="20" spans="2:11" ht="15.75" thickBot="1" x14ac:dyDescent="0.3">
      <c r="B20" s="1424"/>
      <c r="C20" s="97" t="s">
        <v>842</v>
      </c>
      <c r="D20" s="43" t="s">
        <v>1015</v>
      </c>
      <c r="E20" s="38" t="s">
        <v>909</v>
      </c>
      <c r="F20" s="38" t="s">
        <v>910</v>
      </c>
      <c r="G20" s="38" t="s">
        <v>911</v>
      </c>
      <c r="H20" s="38" t="s">
        <v>912</v>
      </c>
      <c r="I20" s="38" t="s">
        <v>1016</v>
      </c>
      <c r="J20" s="110"/>
      <c r="K20" s="5"/>
    </row>
    <row r="21" spans="2:11" ht="36.75" thickBot="1" x14ac:dyDescent="0.3">
      <c r="B21" s="1424"/>
      <c r="C21" s="2" t="s">
        <v>1017</v>
      </c>
      <c r="D21" s="40" t="s">
        <v>1065</v>
      </c>
      <c r="E21" s="1218">
        <v>0</v>
      </c>
      <c r="F21" s="1218">
        <v>1</v>
      </c>
      <c r="G21" s="1219">
        <v>0</v>
      </c>
      <c r="H21" s="1218"/>
      <c r="I21" s="42">
        <f>SUM(E21:H21)</f>
        <v>1</v>
      </c>
      <c r="J21" s="111"/>
      <c r="K21" s="5"/>
    </row>
    <row r="22" spans="2:11" ht="36.75" thickBot="1" x14ac:dyDescent="0.3">
      <c r="B22" s="1424"/>
      <c r="C22" s="2" t="s">
        <v>1019</v>
      </c>
      <c r="D22" s="40" t="s">
        <v>1066</v>
      </c>
      <c r="E22" s="1218">
        <v>0</v>
      </c>
      <c r="F22" s="1219">
        <v>0</v>
      </c>
      <c r="G22" s="1219">
        <v>0</v>
      </c>
      <c r="H22" s="1218"/>
      <c r="I22" s="42">
        <f>SUM(E22:H22)</f>
        <v>0</v>
      </c>
      <c r="J22" s="111"/>
      <c r="K22" s="5"/>
    </row>
    <row r="23" spans="2:11" ht="36.75" thickBot="1" x14ac:dyDescent="0.3">
      <c r="B23" s="1425"/>
      <c r="C23" s="2" t="s">
        <v>1021</v>
      </c>
      <c r="D23" s="40" t="s">
        <v>1067</v>
      </c>
      <c r="E23" s="185" t="str">
        <f>IFERROR(E22/E21,"N.A.")</f>
        <v>N.A.</v>
      </c>
      <c r="F23" s="185">
        <f>IFERROR(F22/F21,"N.A.")</f>
        <v>0</v>
      </c>
      <c r="G23" s="185" t="str">
        <f>IFERROR(G22/G21,"N.A.")</f>
        <v>N.A.</v>
      </c>
      <c r="H23" s="185" t="str">
        <f>IFERROR(H22/H21,"N.A.")</f>
        <v>N.A.</v>
      </c>
      <c r="I23" s="185">
        <f>IFERROR(I22/I21,"N.A.")</f>
        <v>0</v>
      </c>
      <c r="J23" s="112"/>
      <c r="K23" s="5"/>
    </row>
    <row r="24" spans="2:11" ht="24" customHeight="1" thickBot="1" x14ac:dyDescent="0.3">
      <c r="B24" s="46" t="s">
        <v>924</v>
      </c>
      <c r="C24" s="92"/>
      <c r="D24" s="1435" t="s">
        <v>1068</v>
      </c>
      <c r="E24" s="1436"/>
      <c r="F24" s="1436"/>
      <c r="G24" s="1436"/>
      <c r="H24" s="1436"/>
      <c r="I24" s="1436"/>
      <c r="J24" s="1437"/>
      <c r="K24" s="5"/>
    </row>
    <row r="25" spans="2:11" ht="24.75" thickBot="1" x14ac:dyDescent="0.3">
      <c r="B25" s="46" t="s">
        <v>926</v>
      </c>
      <c r="C25" s="92"/>
      <c r="D25" s="1435" t="s">
        <v>1024</v>
      </c>
      <c r="E25" s="1436"/>
      <c r="F25" s="1436"/>
      <c r="G25" s="1436"/>
      <c r="H25" s="1436"/>
      <c r="I25" s="1436"/>
      <c r="J25" s="1437"/>
      <c r="K25" s="5"/>
    </row>
    <row r="26" spans="2:11" ht="15.75" thickBot="1" x14ac:dyDescent="0.3">
      <c r="B26" s="1"/>
      <c r="C26" s="75"/>
      <c r="D26" s="5"/>
      <c r="E26" s="5"/>
      <c r="F26" s="5"/>
      <c r="G26" s="5"/>
      <c r="H26" s="5"/>
      <c r="I26" s="5"/>
      <c r="J26" s="5"/>
      <c r="K26" s="5"/>
    </row>
    <row r="27" spans="2:11" ht="15" customHeight="1" thickBot="1" x14ac:dyDescent="0.3">
      <c r="B27" s="118" t="s">
        <v>928</v>
      </c>
      <c r="C27" s="119"/>
      <c r="D27" s="119"/>
      <c r="E27" s="119"/>
      <c r="F27" s="120"/>
      <c r="G27" s="5"/>
      <c r="H27" s="5"/>
      <c r="I27" s="5"/>
      <c r="J27" s="5"/>
      <c r="K27" s="5"/>
    </row>
    <row r="28" spans="2:11" ht="15.75" thickBot="1" x14ac:dyDescent="0.3">
      <c r="B28" s="1423">
        <v>1</v>
      </c>
      <c r="C28" s="93"/>
      <c r="D28" s="47" t="s">
        <v>929</v>
      </c>
      <c r="E28" s="160" t="s">
        <v>2093</v>
      </c>
      <c r="F28" s="58"/>
      <c r="G28" s="5"/>
      <c r="H28" s="5"/>
      <c r="I28" s="5"/>
      <c r="J28" s="5"/>
      <c r="K28" s="5"/>
    </row>
    <row r="29" spans="2:11" ht="15.75" thickBot="1" x14ac:dyDescent="0.3">
      <c r="B29" s="1424"/>
      <c r="C29" s="93"/>
      <c r="D29" s="40" t="s">
        <v>7</v>
      </c>
      <c r="E29" s="160" t="s">
        <v>2098</v>
      </c>
      <c r="F29" s="58"/>
      <c r="G29" s="5"/>
      <c r="H29" s="5"/>
      <c r="I29" s="5"/>
      <c r="J29" s="5"/>
      <c r="K29" s="5"/>
    </row>
    <row r="30" spans="2:11" ht="15.75" thickBot="1" x14ac:dyDescent="0.3">
      <c r="B30" s="1424"/>
      <c r="C30" s="93"/>
      <c r="D30" s="40" t="s">
        <v>930</v>
      </c>
      <c r="E30" s="160" t="s">
        <v>2099</v>
      </c>
      <c r="F30" s="58"/>
      <c r="G30" s="5"/>
      <c r="H30" s="5"/>
      <c r="I30" s="5"/>
      <c r="J30" s="5"/>
      <c r="K30" s="5"/>
    </row>
    <row r="31" spans="2:11" ht="15.75" thickBot="1" x14ac:dyDescent="0.3">
      <c r="B31" s="1424"/>
      <c r="C31" s="93"/>
      <c r="D31" s="40" t="s">
        <v>9</v>
      </c>
      <c r="E31" s="160" t="s">
        <v>2095</v>
      </c>
      <c r="F31" s="58"/>
      <c r="G31" s="5"/>
      <c r="H31" s="5"/>
      <c r="I31" s="5"/>
      <c r="J31" s="5"/>
      <c r="K31" s="5"/>
    </row>
    <row r="32" spans="2:11" ht="15.75" thickBot="1" x14ac:dyDescent="0.3">
      <c r="B32" s="1424"/>
      <c r="C32" s="93"/>
      <c r="D32" s="40" t="s">
        <v>11</v>
      </c>
      <c r="E32" s="160" t="s">
        <v>2100</v>
      </c>
      <c r="F32" s="58"/>
      <c r="G32" s="5"/>
      <c r="H32" s="5"/>
      <c r="I32" s="5"/>
      <c r="J32" s="5"/>
      <c r="K32" s="5"/>
    </row>
    <row r="33" spans="2:11" ht="15.75" thickBot="1" x14ac:dyDescent="0.3">
      <c r="B33" s="1424"/>
      <c r="C33" s="93"/>
      <c r="D33" s="40" t="s">
        <v>13</v>
      </c>
      <c r="E33" s="160">
        <v>6695278</v>
      </c>
      <c r="F33" s="58"/>
      <c r="G33" s="5"/>
      <c r="H33" s="5"/>
      <c r="I33" s="5"/>
      <c r="J33" s="5"/>
      <c r="K33" s="5"/>
    </row>
    <row r="34" spans="2:11" ht="15.75" thickBot="1" x14ac:dyDescent="0.3">
      <c r="B34" s="1425"/>
      <c r="C34" s="2"/>
      <c r="D34" s="40" t="s">
        <v>931</v>
      </c>
      <c r="E34" s="160" t="s">
        <v>2097</v>
      </c>
      <c r="F34" s="58"/>
      <c r="G34" s="5"/>
      <c r="H34" s="5"/>
      <c r="I34" s="5"/>
      <c r="J34" s="5"/>
      <c r="K34" s="5"/>
    </row>
    <row r="35" spans="2:11" ht="15.75" thickBot="1" x14ac:dyDescent="0.3">
      <c r="B35" s="1"/>
      <c r="C35" s="75"/>
      <c r="D35" s="5"/>
      <c r="E35" s="5"/>
      <c r="F35" s="5"/>
      <c r="G35" s="5"/>
      <c r="H35" s="5"/>
      <c r="I35" s="5"/>
      <c r="J35" s="5"/>
      <c r="K35" s="5"/>
    </row>
    <row r="36" spans="2:11" ht="15" customHeight="1" thickBot="1" x14ac:dyDescent="0.3">
      <c r="B36" s="118" t="s">
        <v>932</v>
      </c>
      <c r="C36" s="119"/>
      <c r="D36" s="119"/>
      <c r="E36" s="119"/>
      <c r="F36" s="120"/>
      <c r="G36" s="5"/>
      <c r="H36" s="5"/>
      <c r="I36" s="5"/>
      <c r="J36" s="5"/>
      <c r="K36" s="5"/>
    </row>
    <row r="37" spans="2:11" ht="15.75" thickBot="1" x14ac:dyDescent="0.3">
      <c r="B37" s="1423">
        <v>1</v>
      </c>
      <c r="C37" s="93"/>
      <c r="D37" s="47" t="s">
        <v>929</v>
      </c>
      <c r="E37" s="233" t="s">
        <v>933</v>
      </c>
      <c r="F37" s="58"/>
      <c r="G37" s="5"/>
      <c r="H37" s="5"/>
      <c r="I37" s="5"/>
      <c r="J37" s="5"/>
      <c r="K37" s="5"/>
    </row>
    <row r="38" spans="2:11" ht="15.75" thickBot="1" x14ac:dyDescent="0.3">
      <c r="B38" s="1424"/>
      <c r="C38" s="93"/>
      <c r="D38" s="40" t="s">
        <v>7</v>
      </c>
      <c r="E38" s="233" t="s">
        <v>934</v>
      </c>
      <c r="F38" s="58"/>
      <c r="G38" s="5"/>
      <c r="H38" s="5"/>
      <c r="I38" s="5"/>
      <c r="J38" s="5"/>
      <c r="K38" s="5"/>
    </row>
    <row r="39" spans="2:11" ht="15.75" thickBot="1" x14ac:dyDescent="0.3">
      <c r="B39" s="1424"/>
      <c r="C39" s="93"/>
      <c r="D39" s="40" t="s">
        <v>930</v>
      </c>
      <c r="E39" s="237"/>
      <c r="F39" s="58"/>
      <c r="G39" s="5"/>
      <c r="H39" s="5"/>
      <c r="I39" s="5"/>
      <c r="J39" s="5"/>
      <c r="K39" s="5"/>
    </row>
    <row r="40" spans="2:11" ht="15.75" thickBot="1" x14ac:dyDescent="0.3">
      <c r="B40" s="1424"/>
      <c r="C40" s="93"/>
      <c r="D40" s="40" t="s">
        <v>9</v>
      </c>
      <c r="E40" s="237"/>
      <c r="F40" s="58"/>
      <c r="G40" s="5"/>
      <c r="H40" s="5"/>
      <c r="I40" s="5"/>
      <c r="J40" s="5"/>
      <c r="K40" s="5"/>
    </row>
    <row r="41" spans="2:11" ht="15.75" thickBot="1" x14ac:dyDescent="0.3">
      <c r="B41" s="1424"/>
      <c r="C41" s="93"/>
      <c r="D41" s="40" t="s">
        <v>11</v>
      </c>
      <c r="E41" s="237"/>
      <c r="F41" s="58"/>
      <c r="G41" s="5"/>
      <c r="H41" s="5"/>
      <c r="I41" s="5"/>
      <c r="J41" s="5"/>
      <c r="K41" s="5"/>
    </row>
    <row r="42" spans="2:11" ht="15.75" thickBot="1" x14ac:dyDescent="0.3">
      <c r="B42" s="1424"/>
      <c r="C42" s="93"/>
      <c r="D42" s="40" t="s">
        <v>13</v>
      </c>
      <c r="E42" s="237"/>
      <c r="F42" s="58"/>
      <c r="G42" s="5"/>
      <c r="H42" s="5"/>
      <c r="I42" s="5"/>
      <c r="J42" s="5"/>
      <c r="K42" s="5"/>
    </row>
    <row r="43" spans="2:11" ht="15.75" thickBot="1" x14ac:dyDescent="0.3">
      <c r="B43" s="1425"/>
      <c r="C43" s="2"/>
      <c r="D43" s="40" t="s">
        <v>931</v>
      </c>
      <c r="E43" s="237"/>
      <c r="F43" s="58"/>
      <c r="G43" s="5"/>
      <c r="H43" s="5"/>
      <c r="I43" s="5"/>
      <c r="J43" s="5"/>
      <c r="K43" s="5"/>
    </row>
    <row r="44" spans="2:11" ht="15.75" thickBot="1" x14ac:dyDescent="0.3">
      <c r="B44" s="1"/>
      <c r="C44" s="75"/>
      <c r="D44" s="5"/>
      <c r="E44" s="5"/>
      <c r="F44" s="5"/>
      <c r="G44" s="5"/>
      <c r="H44" s="5"/>
      <c r="I44" s="5"/>
      <c r="J44" s="5"/>
      <c r="K44" s="5"/>
    </row>
    <row r="45" spans="2:11" ht="15" customHeight="1" thickBot="1" x14ac:dyDescent="0.3">
      <c r="B45" s="118" t="s">
        <v>935</v>
      </c>
      <c r="C45" s="119"/>
      <c r="D45" s="119"/>
      <c r="E45" s="120"/>
      <c r="G45" s="5"/>
      <c r="H45" s="5"/>
      <c r="I45" s="5"/>
      <c r="J45" s="5"/>
      <c r="K45" s="5"/>
    </row>
    <row r="46" spans="2:11" ht="24.75" thickBot="1" x14ac:dyDescent="0.3">
      <c r="B46" s="46" t="s">
        <v>936</v>
      </c>
      <c r="C46" s="40" t="s">
        <v>937</v>
      </c>
      <c r="D46" s="40" t="s">
        <v>938</v>
      </c>
      <c r="E46" s="40" t="s">
        <v>939</v>
      </c>
      <c r="F46" s="5"/>
      <c r="G46" s="5"/>
      <c r="H46" s="5"/>
      <c r="I46" s="5"/>
      <c r="J46" s="5"/>
    </row>
    <row r="47" spans="2:11" ht="72.75" thickBot="1" x14ac:dyDescent="0.3">
      <c r="B47" s="48">
        <v>42401</v>
      </c>
      <c r="C47" s="40">
        <v>0.01</v>
      </c>
      <c r="D47" s="67" t="s">
        <v>1069</v>
      </c>
      <c r="E47" s="40"/>
      <c r="F47" s="5"/>
      <c r="G47" s="5"/>
      <c r="H47" s="5"/>
      <c r="I47" s="5"/>
      <c r="J47" s="5"/>
    </row>
    <row r="48" spans="2:11" ht="15.75" thickBot="1" x14ac:dyDescent="0.3">
      <c r="B48" s="3"/>
      <c r="C48" s="94"/>
      <c r="D48" s="5"/>
      <c r="E48" s="5"/>
      <c r="F48" s="5"/>
      <c r="G48" s="5"/>
      <c r="H48" s="5"/>
      <c r="I48" s="5"/>
      <c r="J48" s="5"/>
      <c r="K48" s="5"/>
    </row>
    <row r="49" spans="2:11" x14ac:dyDescent="0.25">
      <c r="B49" s="128" t="s">
        <v>846</v>
      </c>
      <c r="C49" s="95"/>
      <c r="D49" s="5"/>
      <c r="E49" s="5"/>
      <c r="F49" s="5"/>
      <c r="G49" s="5"/>
      <c r="H49" s="5"/>
      <c r="I49" s="5"/>
      <c r="J49" s="5"/>
      <c r="K49" s="5"/>
    </row>
    <row r="50" spans="2:11" x14ac:dyDescent="0.25">
      <c r="B50" s="1465"/>
      <c r="C50" s="1466"/>
      <c r="D50" s="1466"/>
      <c r="E50" s="1467"/>
      <c r="F50" s="5"/>
      <c r="G50" s="5"/>
      <c r="H50" s="5"/>
      <c r="I50" s="5"/>
      <c r="J50" s="5"/>
      <c r="K50" s="5"/>
    </row>
    <row r="51" spans="2:11" x14ac:dyDescent="0.25">
      <c r="B51" s="1468"/>
      <c r="C51" s="1469"/>
      <c r="D51" s="1469"/>
      <c r="E51" s="1470"/>
      <c r="F51" s="5"/>
      <c r="G51" s="5"/>
      <c r="H51" s="5"/>
      <c r="I51" s="5"/>
      <c r="J51" s="5"/>
      <c r="K51" s="5"/>
    </row>
    <row r="52" spans="2:11" ht="15.75" thickBot="1" x14ac:dyDescent="0.3">
      <c r="B52" s="5"/>
      <c r="D52" s="5"/>
      <c r="E52" s="5"/>
      <c r="F52" s="5"/>
      <c r="G52" s="5"/>
      <c r="H52" s="5"/>
      <c r="I52" s="5"/>
      <c r="J52" s="5"/>
      <c r="K52" s="5"/>
    </row>
    <row r="53" spans="2:11" ht="24.75" thickBot="1" x14ac:dyDescent="0.3">
      <c r="B53" s="50" t="s">
        <v>941</v>
      </c>
      <c r="C53" s="96"/>
      <c r="D53" s="5"/>
      <c r="E53" s="5"/>
      <c r="F53" s="5"/>
      <c r="G53" s="5"/>
      <c r="H53" s="5"/>
      <c r="I53" s="5"/>
      <c r="J53" s="5"/>
      <c r="K53" s="5"/>
    </row>
    <row r="54" spans="2:11" ht="15.75" thickBot="1" x14ac:dyDescent="0.3">
      <c r="B54" s="1"/>
      <c r="C54" s="75"/>
      <c r="D54" s="5"/>
      <c r="E54" s="5"/>
      <c r="F54" s="5"/>
      <c r="G54" s="5"/>
      <c r="H54" s="5"/>
      <c r="I54" s="5"/>
      <c r="J54" s="5"/>
      <c r="K54" s="5"/>
    </row>
    <row r="55" spans="2:11" ht="60.75" thickBot="1" x14ac:dyDescent="0.3">
      <c r="B55" s="51" t="s">
        <v>942</v>
      </c>
      <c r="C55" s="97"/>
      <c r="D55" s="43" t="s">
        <v>1070</v>
      </c>
      <c r="E55" s="5"/>
      <c r="F55" s="5"/>
      <c r="G55" s="5"/>
      <c r="H55" s="5"/>
      <c r="I55" s="5"/>
      <c r="J55" s="5"/>
      <c r="K55" s="5"/>
    </row>
    <row r="56" spans="2:11" x14ac:dyDescent="0.25">
      <c r="B56" s="1423" t="s">
        <v>944</v>
      </c>
      <c r="C56" s="93"/>
      <c r="D56" s="52" t="s">
        <v>945</v>
      </c>
      <c r="E56" s="5"/>
      <c r="F56" s="5"/>
      <c r="G56" s="5"/>
      <c r="H56" s="5"/>
      <c r="I56" s="5"/>
      <c r="J56" s="5"/>
      <c r="K56" s="5"/>
    </row>
    <row r="57" spans="2:11" ht="60" x14ac:dyDescent="0.25">
      <c r="B57" s="1424"/>
      <c r="C57" s="93"/>
      <c r="D57" s="45" t="s">
        <v>1071</v>
      </c>
      <c r="E57" s="5"/>
      <c r="F57" s="5"/>
      <c r="G57" s="5"/>
      <c r="H57" s="5"/>
      <c r="I57" s="5"/>
      <c r="J57" s="5"/>
      <c r="K57" s="5"/>
    </row>
    <row r="58" spans="2:11" x14ac:dyDescent="0.25">
      <c r="B58" s="1424"/>
      <c r="C58" s="93"/>
      <c r="D58" s="52" t="s">
        <v>1029</v>
      </c>
      <c r="E58" s="5"/>
      <c r="F58" s="5"/>
      <c r="G58" s="5"/>
      <c r="H58" s="5"/>
      <c r="I58" s="5"/>
      <c r="J58" s="5"/>
      <c r="K58" s="5"/>
    </row>
    <row r="59" spans="2:11" ht="24" x14ac:dyDescent="0.25">
      <c r="B59" s="1424"/>
      <c r="C59" s="93"/>
      <c r="D59" s="45" t="s">
        <v>1031</v>
      </c>
      <c r="E59" s="5"/>
      <c r="F59" s="5"/>
      <c r="G59" s="5"/>
      <c r="H59" s="5"/>
      <c r="I59" s="5"/>
      <c r="J59" s="5"/>
      <c r="K59" s="5"/>
    </row>
    <row r="60" spans="2:11" x14ac:dyDescent="0.25">
      <c r="B60" s="1424"/>
      <c r="C60" s="93"/>
      <c r="D60" s="45" t="s">
        <v>1052</v>
      </c>
      <c r="E60" s="5"/>
      <c r="F60" s="5"/>
      <c r="G60" s="5"/>
      <c r="H60" s="5"/>
      <c r="I60" s="5"/>
      <c r="J60" s="5"/>
      <c r="K60" s="5"/>
    </row>
    <row r="61" spans="2:11" ht="36" x14ac:dyDescent="0.25">
      <c r="B61" s="1424"/>
      <c r="C61" s="93"/>
      <c r="D61" s="45" t="s">
        <v>1035</v>
      </c>
      <c r="E61" s="5"/>
      <c r="F61" s="5"/>
      <c r="G61" s="5"/>
      <c r="H61" s="5"/>
      <c r="I61" s="5"/>
      <c r="J61" s="5"/>
      <c r="K61" s="5"/>
    </row>
    <row r="62" spans="2:11" x14ac:dyDescent="0.25">
      <c r="B62" s="1424"/>
      <c r="C62" s="93"/>
      <c r="D62" s="52" t="s">
        <v>1036</v>
      </c>
      <c r="E62" s="5"/>
      <c r="F62" s="5"/>
      <c r="G62" s="5"/>
      <c r="H62" s="5"/>
      <c r="I62" s="5"/>
      <c r="J62" s="5"/>
      <c r="K62" s="5"/>
    </row>
    <row r="63" spans="2:11" ht="24.75" thickBot="1" x14ac:dyDescent="0.3">
      <c r="B63" s="1425"/>
      <c r="C63" s="2"/>
      <c r="D63" s="40" t="s">
        <v>1037</v>
      </c>
      <c r="E63" s="5"/>
      <c r="F63" s="5"/>
      <c r="G63" s="5"/>
      <c r="H63" s="5"/>
      <c r="I63" s="5"/>
      <c r="J63" s="5"/>
      <c r="K63" s="5"/>
    </row>
    <row r="64" spans="2:11" ht="24.75" thickBot="1" x14ac:dyDescent="0.3">
      <c r="B64" s="46" t="s">
        <v>957</v>
      </c>
      <c r="C64" s="2"/>
      <c r="D64" s="40"/>
      <c r="E64" s="5"/>
      <c r="F64" s="5"/>
      <c r="G64" s="5"/>
      <c r="H64" s="5"/>
      <c r="I64" s="5"/>
      <c r="J64" s="5"/>
      <c r="K64" s="5"/>
    </row>
    <row r="65" spans="2:11" ht="108" x14ac:dyDescent="0.25">
      <c r="B65" s="1423" t="s">
        <v>958</v>
      </c>
      <c r="C65" s="93"/>
      <c r="D65" s="45" t="s">
        <v>1072</v>
      </c>
      <c r="E65" s="5"/>
      <c r="F65" s="5"/>
      <c r="G65" s="5"/>
      <c r="H65" s="5"/>
      <c r="I65" s="5"/>
      <c r="J65" s="5"/>
      <c r="K65" s="5"/>
    </row>
    <row r="66" spans="2:11" ht="240" x14ac:dyDescent="0.25">
      <c r="B66" s="1424"/>
      <c r="C66" s="93"/>
      <c r="D66" s="45" t="s">
        <v>1073</v>
      </c>
      <c r="E66" s="5"/>
      <c r="F66" s="5"/>
      <c r="G66" s="5"/>
      <c r="H66" s="5"/>
      <c r="I66" s="5"/>
      <c r="J66" s="5"/>
      <c r="K66" s="5"/>
    </row>
    <row r="67" spans="2:11" ht="48.75" thickBot="1" x14ac:dyDescent="0.3">
      <c r="B67" s="1425"/>
      <c r="C67" s="2"/>
      <c r="D67" s="40" t="s">
        <v>1074</v>
      </c>
      <c r="E67" s="5"/>
      <c r="F67" s="5"/>
      <c r="G67" s="5"/>
      <c r="H67" s="5"/>
      <c r="I67" s="5"/>
      <c r="J67" s="5"/>
      <c r="K67" s="5"/>
    </row>
    <row r="68" spans="2:11" x14ac:dyDescent="0.25">
      <c r="B68" s="1423" t="s">
        <v>975</v>
      </c>
      <c r="C68" s="93"/>
      <c r="D68" s="45"/>
      <c r="E68" s="5"/>
      <c r="F68" s="5"/>
      <c r="G68" s="5"/>
      <c r="H68" s="5"/>
      <c r="I68" s="5"/>
      <c r="J68" s="5"/>
      <c r="K68" s="5"/>
    </row>
    <row r="69" spans="2:11" x14ac:dyDescent="0.25">
      <c r="B69" s="1424"/>
      <c r="C69" s="93"/>
      <c r="D69" s="16"/>
      <c r="E69" s="5"/>
      <c r="F69" s="5"/>
      <c r="G69" s="5"/>
      <c r="H69" s="5"/>
      <c r="I69" s="5"/>
      <c r="J69" s="5"/>
      <c r="K69" s="5"/>
    </row>
    <row r="70" spans="2:11" x14ac:dyDescent="0.25">
      <c r="B70" s="1424"/>
      <c r="C70" s="93"/>
      <c r="D70" s="45" t="s">
        <v>976</v>
      </c>
      <c r="E70" s="5"/>
      <c r="F70" s="5"/>
      <c r="G70" s="5"/>
      <c r="H70" s="5"/>
      <c r="I70" s="5"/>
      <c r="J70" s="5"/>
      <c r="K70" s="5"/>
    </row>
    <row r="71" spans="2:11" ht="37.5" x14ac:dyDescent="0.25">
      <c r="B71" s="1424"/>
      <c r="C71" s="93"/>
      <c r="D71" s="45" t="s">
        <v>1075</v>
      </c>
      <c r="E71" s="5"/>
      <c r="F71" s="5"/>
      <c r="G71" s="5"/>
      <c r="H71" s="5"/>
      <c r="I71" s="5"/>
      <c r="J71" s="5"/>
      <c r="K71" s="5"/>
    </row>
    <row r="72" spans="2:11" ht="37.5" x14ac:dyDescent="0.25">
      <c r="B72" s="1424"/>
      <c r="C72" s="93"/>
      <c r="D72" s="45" t="s">
        <v>1076</v>
      </c>
      <c r="E72" s="5"/>
      <c r="F72" s="5"/>
      <c r="G72" s="5"/>
      <c r="H72" s="5"/>
      <c r="I72" s="5"/>
      <c r="J72" s="5"/>
      <c r="K72" s="5"/>
    </row>
    <row r="73" spans="2:11" ht="37.5" x14ac:dyDescent="0.25">
      <c r="B73" s="1424"/>
      <c r="C73" s="93"/>
      <c r="D73" s="45" t="s">
        <v>1077</v>
      </c>
      <c r="E73" s="5"/>
      <c r="F73" s="5"/>
      <c r="G73" s="5"/>
      <c r="H73" s="5"/>
      <c r="I73" s="5"/>
      <c r="J73" s="5"/>
      <c r="K73" s="5"/>
    </row>
    <row r="74" spans="2:11" ht="48.75" thickBot="1" x14ac:dyDescent="0.3">
      <c r="B74" s="1425"/>
      <c r="C74" s="2"/>
      <c r="D74" s="40" t="s">
        <v>1078</v>
      </c>
      <c r="E74" s="5"/>
      <c r="F74" s="5"/>
      <c r="G74" s="5"/>
      <c r="H74" s="5"/>
      <c r="I74" s="5"/>
      <c r="J74" s="5"/>
      <c r="K74" s="5"/>
    </row>
    <row r="75" spans="2:11" x14ac:dyDescent="0.25">
      <c r="B75" s="5"/>
      <c r="D75" s="5"/>
      <c r="E75" s="5"/>
      <c r="F75" s="5"/>
      <c r="G75" s="5"/>
      <c r="H75" s="5"/>
      <c r="I75" s="5"/>
      <c r="J75" s="5"/>
      <c r="K75" s="5"/>
    </row>
  </sheetData>
  <mergeCells count="19">
    <mergeCell ref="A4:D4"/>
    <mergeCell ref="A1:J1"/>
    <mergeCell ref="A2:J2"/>
    <mergeCell ref="A3:J3"/>
    <mergeCell ref="A5:J5"/>
    <mergeCell ref="B68:B74"/>
    <mergeCell ref="B15:B23"/>
    <mergeCell ref="D15:J15"/>
    <mergeCell ref="D19:J19"/>
    <mergeCell ref="D24:J24"/>
    <mergeCell ref="D25:J25"/>
    <mergeCell ref="B28:B34"/>
    <mergeCell ref="B37:B43"/>
    <mergeCell ref="B50:E51"/>
    <mergeCell ref="B10:D10"/>
    <mergeCell ref="E12:J12"/>
    <mergeCell ref="E13:J13"/>
    <mergeCell ref="B56:B63"/>
    <mergeCell ref="B65:B67"/>
  </mergeCells>
  <conditionalFormatting sqref="F10">
    <cfRule type="notContainsBlanks" dxfId="116" priority="4">
      <formula>LEN(TRIM(F10))&gt;0</formula>
    </cfRule>
  </conditionalFormatting>
  <conditionalFormatting sqref="F11:J11 S11">
    <cfRule type="expression" dxfId="115" priority="2">
      <formula>E11="NO SE REPORTA"</formula>
    </cfRule>
    <cfRule type="expression" dxfId="114" priority="3">
      <formula>E10="NO APLICA"</formula>
    </cfRule>
  </conditionalFormatting>
  <conditionalFormatting sqref="E12">
    <cfRule type="expression" dxfId="11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dimension ref="A1:U78"/>
  <sheetViews>
    <sheetView showGridLines="0" zoomScale="98" zoomScaleNormal="98" workbookViewId="0">
      <selection activeCell="D17" sqref="D17"/>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0"/>
      <c r="K2" s="5"/>
      <c r="L2"/>
      <c r="M2"/>
      <c r="N2"/>
      <c r="O2"/>
      <c r="P2"/>
      <c r="Q2"/>
      <c r="R2"/>
    </row>
    <row r="3" spans="1:21" s="388" customFormat="1" ht="16.5" customHeight="1" thickBot="1" x14ac:dyDescent="0.3">
      <c r="A3" s="1236" t="s">
        <v>841</v>
      </c>
      <c r="B3" s="1237"/>
      <c r="C3" s="1237"/>
      <c r="D3" s="1237"/>
      <c r="E3" s="1237"/>
      <c r="F3" s="1237"/>
      <c r="G3" s="1237"/>
      <c r="H3" s="1237"/>
      <c r="I3" s="1237"/>
      <c r="J3" s="1237"/>
      <c r="K3" s="5"/>
      <c r="L3"/>
      <c r="M3"/>
      <c r="N3"/>
      <c r="O3"/>
      <c r="P3"/>
      <c r="Q3"/>
      <c r="R3"/>
    </row>
    <row r="4" spans="1:21" s="388" customFormat="1" ht="16.5" thickBot="1" x14ac:dyDescent="0.3">
      <c r="A4" s="1397" t="s">
        <v>62</v>
      </c>
      <c r="B4" s="1398"/>
      <c r="C4" s="1398"/>
      <c r="D4" s="1398"/>
      <c r="E4" s="405" t="str">
        <f>'Datos Generales'!C6</f>
        <v>2022-II</v>
      </c>
      <c r="F4" s="405"/>
      <c r="G4" s="405"/>
      <c r="H4" s="405"/>
      <c r="I4" s="405"/>
      <c r="J4" s="405"/>
      <c r="K4" s="5"/>
      <c r="L4"/>
      <c r="M4"/>
      <c r="N4"/>
      <c r="O4"/>
      <c r="P4"/>
      <c r="Q4"/>
      <c r="R4"/>
    </row>
    <row r="5" spans="1:21" ht="16.5" customHeight="1" thickBot="1" x14ac:dyDescent="0.3">
      <c r="A5" s="1236" t="s">
        <v>89</v>
      </c>
      <c r="B5" s="1237"/>
      <c r="C5" s="1237"/>
      <c r="D5" s="1237"/>
      <c r="E5" s="1237"/>
      <c r="F5" s="1237"/>
      <c r="G5" s="1237"/>
      <c r="H5" s="1237"/>
      <c r="I5" s="1237"/>
      <c r="J5" s="1237"/>
      <c r="K5" s="5"/>
    </row>
    <row r="6" spans="1:21" x14ac:dyDescent="0.25">
      <c r="B6" s="1" t="s">
        <v>878</v>
      </c>
      <c r="C6" s="75"/>
      <c r="D6" s="5"/>
      <c r="E6" s="73">
        <v>1</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INFORMACION",+F22))</f>
        <v>1</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L11" s="557"/>
      <c r="M11" s="557"/>
      <c r="N11" s="557"/>
      <c r="O11" s="557"/>
      <c r="P11" s="557"/>
      <c r="Q11" s="557"/>
      <c r="R11" s="557"/>
      <c r="S11" s="557"/>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61"/>
      <c r="F12" s="1461"/>
      <c r="G12" s="1461"/>
      <c r="H12" s="1461"/>
      <c r="I12" s="1461"/>
      <c r="J12" s="1461"/>
      <c r="K12" s="552"/>
      <c r="L12" s="552"/>
      <c r="M12" s="552"/>
      <c r="N12" s="552"/>
      <c r="O12" s="552"/>
      <c r="P12" s="552"/>
      <c r="Q12" s="552"/>
      <c r="R12" s="552"/>
    </row>
    <row r="13" spans="1:21" ht="21.95" customHeight="1" x14ac:dyDescent="0.25">
      <c r="B13" s="356"/>
      <c r="C13" s="87"/>
      <c r="D13" s="171" t="s">
        <v>887</v>
      </c>
      <c r="E13" s="1457"/>
      <c r="F13" s="1457"/>
      <c r="G13" s="1457"/>
      <c r="H13" s="1457"/>
      <c r="I13" s="1457"/>
      <c r="J13" s="1457"/>
      <c r="K13" s="552"/>
      <c r="L13" s="552"/>
      <c r="M13" s="552"/>
      <c r="N13" s="552"/>
      <c r="O13" s="552"/>
      <c r="P13" s="552"/>
      <c r="Q13" s="552"/>
      <c r="R13" s="552"/>
    </row>
    <row r="14" spans="1:21" ht="6.95" customHeight="1" thickBot="1" x14ac:dyDescent="0.3">
      <c r="B14" s="356"/>
      <c r="C14" s="87"/>
      <c r="D14" s="5"/>
      <c r="E14" s="5"/>
      <c r="F14" s="5"/>
      <c r="G14" s="5"/>
      <c r="H14" s="5"/>
      <c r="I14" s="5"/>
      <c r="J14" s="5"/>
      <c r="K14" s="552"/>
      <c r="L14" s="552"/>
      <c r="M14" s="552"/>
      <c r="N14" s="552"/>
      <c r="O14" s="552"/>
      <c r="P14" s="552"/>
      <c r="Q14" s="552"/>
      <c r="R14" s="552"/>
    </row>
    <row r="15" spans="1:21" ht="15.75" thickBot="1" x14ac:dyDescent="0.3">
      <c r="B15" s="1423" t="s">
        <v>888</v>
      </c>
      <c r="C15" s="88"/>
      <c r="D15" s="1408" t="s">
        <v>889</v>
      </c>
      <c r="E15" s="1409"/>
      <c r="F15" s="1409"/>
      <c r="G15" s="1409"/>
      <c r="H15" s="1409"/>
      <c r="I15" s="1409"/>
      <c r="J15" s="1410"/>
      <c r="K15" s="552"/>
      <c r="L15" s="552"/>
      <c r="M15" s="552"/>
      <c r="N15" s="552"/>
      <c r="O15" s="552"/>
      <c r="P15" s="552"/>
      <c r="Q15" s="552"/>
      <c r="R15" s="552"/>
    </row>
    <row r="16" spans="1:21" ht="48.75" thickBot="1" x14ac:dyDescent="0.3">
      <c r="B16" s="1424"/>
      <c r="C16" s="93"/>
      <c r="D16" s="43" t="s">
        <v>2661</v>
      </c>
      <c r="E16" s="205">
        <v>1</v>
      </c>
      <c r="F16" s="5"/>
      <c r="G16" s="5"/>
      <c r="H16" s="5"/>
      <c r="I16" s="5"/>
      <c r="J16" s="21"/>
      <c r="K16" s="5"/>
    </row>
    <row r="17" spans="2:11" ht="48.75" thickBot="1" x14ac:dyDescent="0.3">
      <c r="B17" s="1424"/>
      <c r="C17" s="93"/>
      <c r="D17" s="40" t="s">
        <v>1079</v>
      </c>
      <c r="E17" s="205">
        <v>1</v>
      </c>
      <c r="F17" s="5"/>
      <c r="G17" s="5"/>
      <c r="H17" s="5"/>
      <c r="I17" s="5"/>
      <c r="J17" s="21"/>
      <c r="K17" s="5"/>
    </row>
    <row r="18" spans="2:11" ht="15.75" thickBot="1" x14ac:dyDescent="0.3">
      <c r="B18" s="1424"/>
      <c r="C18" s="91"/>
      <c r="D18" s="1438"/>
      <c r="E18" s="1439"/>
      <c r="F18" s="1439"/>
      <c r="G18" s="1439"/>
      <c r="H18" s="1439"/>
      <c r="I18" s="1439"/>
      <c r="J18" s="1440"/>
      <c r="K18" s="5"/>
    </row>
    <row r="19" spans="2:11" ht="15.75" thickBot="1" x14ac:dyDescent="0.3">
      <c r="B19" s="1424"/>
      <c r="C19" s="97" t="s">
        <v>842</v>
      </c>
      <c r="D19" s="43" t="s">
        <v>1015</v>
      </c>
      <c r="E19" s="89" t="s">
        <v>909</v>
      </c>
      <c r="F19" s="89" t="s">
        <v>910</v>
      </c>
      <c r="G19" s="89" t="s">
        <v>911</v>
      </c>
      <c r="H19" s="89" t="s">
        <v>912</v>
      </c>
      <c r="I19" s="218" t="s">
        <v>846</v>
      </c>
      <c r="J19" s="110"/>
      <c r="K19" s="5"/>
    </row>
    <row r="20" spans="2:11" ht="36.75" thickBot="1" x14ac:dyDescent="0.3">
      <c r="B20" s="1424"/>
      <c r="C20" s="2" t="s">
        <v>1017</v>
      </c>
      <c r="D20" s="40" t="s">
        <v>1080</v>
      </c>
      <c r="E20" s="205">
        <v>1</v>
      </c>
      <c r="F20" s="205">
        <v>1</v>
      </c>
      <c r="G20" s="590">
        <v>1</v>
      </c>
      <c r="H20" s="205"/>
      <c r="I20" s="30"/>
      <c r="J20" s="111"/>
      <c r="K20" s="5"/>
    </row>
    <row r="21" spans="2:11" ht="36.75" thickBot="1" x14ac:dyDescent="0.3">
      <c r="B21" s="1424"/>
      <c r="C21" s="2" t="s">
        <v>1019</v>
      </c>
      <c r="D21" s="40" t="s">
        <v>1081</v>
      </c>
      <c r="E21" s="205">
        <v>1</v>
      </c>
      <c r="F21" s="590">
        <v>1</v>
      </c>
      <c r="G21" s="590">
        <v>1</v>
      </c>
      <c r="H21" s="205"/>
      <c r="I21" s="30"/>
      <c r="J21" s="111"/>
      <c r="K21" s="5"/>
    </row>
    <row r="22" spans="2:11" ht="36.75" thickBot="1" x14ac:dyDescent="0.3">
      <c r="B22" s="1425"/>
      <c r="C22" s="2" t="s">
        <v>1021</v>
      </c>
      <c r="D22" s="40" t="s">
        <v>1082</v>
      </c>
      <c r="E22" s="185">
        <f>IFERROR(E21/E20,"N.A.")</f>
        <v>1</v>
      </c>
      <c r="F22" s="185">
        <f>IFERROR(F21/F20,"N.A.")</f>
        <v>1</v>
      </c>
      <c r="G22" s="185">
        <f>IFERROR(G21/G20,"N.A.")</f>
        <v>1</v>
      </c>
      <c r="H22" s="185" t="str">
        <f>IFERROR(H21/H20,"N.A.")</f>
        <v>N.A.</v>
      </c>
      <c r="I22" s="355"/>
      <c r="J22" s="112"/>
      <c r="K22" s="5"/>
    </row>
    <row r="23" spans="2:11" ht="24" customHeight="1" thickBot="1" x14ac:dyDescent="0.3">
      <c r="B23" s="46" t="s">
        <v>924</v>
      </c>
      <c r="C23" s="92"/>
      <c r="D23" s="1435" t="s">
        <v>1083</v>
      </c>
      <c r="E23" s="1436"/>
      <c r="F23" s="1436"/>
      <c r="G23" s="1436"/>
      <c r="H23" s="1436"/>
      <c r="I23" s="1436"/>
      <c r="J23" s="1437"/>
      <c r="K23" s="5"/>
    </row>
    <row r="24" spans="2:11" ht="24.75" thickBot="1" x14ac:dyDescent="0.3">
      <c r="B24" s="46" t="s">
        <v>926</v>
      </c>
      <c r="C24" s="92"/>
      <c r="D24" s="1435" t="s">
        <v>1024</v>
      </c>
      <c r="E24" s="1436"/>
      <c r="F24" s="1436"/>
      <c r="G24" s="1436"/>
      <c r="H24" s="1436"/>
      <c r="I24" s="1436"/>
      <c r="J24" s="1437"/>
      <c r="K24" s="5"/>
    </row>
    <row r="25" spans="2:11" ht="15.75" thickBot="1" x14ac:dyDescent="0.3">
      <c r="B25" s="37"/>
      <c r="C25" s="87"/>
      <c r="D25" s="5"/>
      <c r="E25" s="5"/>
      <c r="F25" s="5"/>
      <c r="G25" s="5"/>
      <c r="H25" s="5"/>
      <c r="I25" s="5"/>
      <c r="J25" s="238"/>
      <c r="K25" s="5"/>
    </row>
    <row r="26" spans="2:11" ht="15" customHeight="1" thickBot="1" x14ac:dyDescent="0.3">
      <c r="B26" s="118" t="s">
        <v>928</v>
      </c>
      <c r="C26" s="122"/>
      <c r="D26" s="122"/>
      <c r="E26" s="122"/>
      <c r="F26" s="122"/>
      <c r="G26" s="122"/>
      <c r="H26" s="122"/>
      <c r="I26" s="122"/>
      <c r="J26" s="123"/>
      <c r="K26" s="5"/>
    </row>
    <row r="27" spans="2:11" ht="15.75" thickBot="1" x14ac:dyDescent="0.3">
      <c r="B27" s="1423">
        <v>1</v>
      </c>
      <c r="C27" s="88"/>
      <c r="D27" s="239" t="s">
        <v>929</v>
      </c>
      <c r="E27" s="548" t="s">
        <v>2093</v>
      </c>
      <c r="F27" s="249"/>
      <c r="I27" s="58"/>
      <c r="J27" s="240"/>
      <c r="K27" s="5"/>
    </row>
    <row r="28" spans="2:11" ht="15.75" thickBot="1" x14ac:dyDescent="0.3">
      <c r="B28" s="1424"/>
      <c r="C28" s="91"/>
      <c r="D28" s="241" t="s">
        <v>7</v>
      </c>
      <c r="E28" s="548" t="s">
        <v>2098</v>
      </c>
      <c r="F28" s="249"/>
      <c r="I28" s="58"/>
      <c r="J28" s="21"/>
      <c r="K28" s="5"/>
    </row>
    <row r="29" spans="2:11" ht="15.75" thickBot="1" x14ac:dyDescent="0.3">
      <c r="B29" s="1424"/>
      <c r="C29" s="91"/>
      <c r="D29" s="241" t="s">
        <v>930</v>
      </c>
      <c r="E29" s="548" t="s">
        <v>2099</v>
      </c>
      <c r="F29" s="249"/>
      <c r="I29" s="58"/>
      <c r="J29" s="21"/>
      <c r="K29" s="5"/>
    </row>
    <row r="30" spans="2:11" ht="15.75" thickBot="1" x14ac:dyDescent="0.3">
      <c r="B30" s="1424"/>
      <c r="C30" s="91"/>
      <c r="D30" s="241" t="s">
        <v>9</v>
      </c>
      <c r="E30" s="548" t="s">
        <v>2095</v>
      </c>
      <c r="F30" s="249"/>
      <c r="I30" s="58"/>
      <c r="J30" s="21"/>
      <c r="K30" s="5"/>
    </row>
    <row r="31" spans="2:11" ht="15.75" thickBot="1" x14ac:dyDescent="0.3">
      <c r="B31" s="1424"/>
      <c r="C31" s="91"/>
      <c r="D31" s="241" t="s">
        <v>11</v>
      </c>
      <c r="E31" s="548" t="s">
        <v>2100</v>
      </c>
      <c r="F31" s="249"/>
      <c r="I31" s="58"/>
      <c r="J31" s="21"/>
      <c r="K31" s="5"/>
    </row>
    <row r="32" spans="2:11" ht="15.75" thickBot="1" x14ac:dyDescent="0.3">
      <c r="B32" s="1424"/>
      <c r="C32" s="91"/>
      <c r="D32" s="241" t="s">
        <v>13</v>
      </c>
      <c r="E32" s="548">
        <v>6695278</v>
      </c>
      <c r="F32" s="249"/>
      <c r="I32" s="58"/>
      <c r="J32" s="21"/>
      <c r="K32" s="5"/>
    </row>
    <row r="33" spans="2:11" ht="15.75" thickBot="1" x14ac:dyDescent="0.3">
      <c r="B33" s="1425"/>
      <c r="C33" s="92"/>
      <c r="D33" s="241" t="s">
        <v>931</v>
      </c>
      <c r="E33" s="548" t="s">
        <v>2097</v>
      </c>
      <c r="F33" s="249"/>
      <c r="I33" s="242"/>
      <c r="J33" s="23"/>
      <c r="K33" s="5"/>
    </row>
    <row r="34" spans="2:11" ht="15" customHeight="1" thickBot="1" x14ac:dyDescent="0.3">
      <c r="B34" s="118" t="s">
        <v>932</v>
      </c>
      <c r="C34" s="119"/>
      <c r="D34" s="119"/>
      <c r="E34" s="119"/>
      <c r="F34" s="119"/>
      <c r="G34" s="119"/>
      <c r="H34" s="119"/>
      <c r="I34" s="122"/>
      <c r="J34" s="123"/>
      <c r="K34" s="5"/>
    </row>
    <row r="35" spans="2:11" ht="14.45" customHeight="1" thickBot="1" x14ac:dyDescent="0.3">
      <c r="B35" s="1423">
        <v>1</v>
      </c>
      <c r="C35" s="88"/>
      <c r="D35" s="243" t="s">
        <v>929</v>
      </c>
      <c r="E35" s="217" t="s">
        <v>933</v>
      </c>
      <c r="F35" s="218"/>
      <c r="G35" s="291"/>
      <c r="H35" s="291"/>
      <c r="I35" s="560"/>
      <c r="J35" s="240"/>
      <c r="K35" s="5"/>
    </row>
    <row r="36" spans="2:11" ht="15.75" thickBot="1" x14ac:dyDescent="0.3">
      <c r="B36" s="1424"/>
      <c r="C36" s="91"/>
      <c r="D36" s="125" t="s">
        <v>7</v>
      </c>
      <c r="E36" s="217" t="s">
        <v>1025</v>
      </c>
      <c r="F36" s="217"/>
      <c r="I36" s="58"/>
      <c r="J36" s="21"/>
      <c r="K36" s="5"/>
    </row>
    <row r="37" spans="2:11" ht="15.75" thickBot="1" x14ac:dyDescent="0.3">
      <c r="B37" s="1424"/>
      <c r="C37" s="91"/>
      <c r="D37" s="125" t="s">
        <v>930</v>
      </c>
      <c r="E37" s="561"/>
      <c r="F37" s="217"/>
      <c r="I37" s="58"/>
      <c r="J37" s="21"/>
      <c r="K37" s="5"/>
    </row>
    <row r="38" spans="2:11" ht="15.75" thickBot="1" x14ac:dyDescent="0.3">
      <c r="B38" s="1424"/>
      <c r="C38" s="91"/>
      <c r="D38" s="125" t="s">
        <v>9</v>
      </c>
      <c r="E38" s="561"/>
      <c r="F38" s="217"/>
      <c r="I38" s="58"/>
      <c r="J38" s="21"/>
      <c r="K38" s="5"/>
    </row>
    <row r="39" spans="2:11" ht="15.75" thickBot="1" x14ac:dyDescent="0.3">
      <c r="B39" s="1424"/>
      <c r="C39" s="91"/>
      <c r="D39" s="125" t="s">
        <v>11</v>
      </c>
      <c r="E39" s="561"/>
      <c r="F39" s="217"/>
      <c r="I39" s="58"/>
      <c r="J39" s="21"/>
      <c r="K39" s="5"/>
    </row>
    <row r="40" spans="2:11" ht="15.75" thickBot="1" x14ac:dyDescent="0.3">
      <c r="B40" s="1424"/>
      <c r="C40" s="91"/>
      <c r="D40" s="125" t="s">
        <v>13</v>
      </c>
      <c r="E40" s="561"/>
      <c r="F40" s="217"/>
      <c r="I40" s="58"/>
      <c r="J40" s="21"/>
      <c r="K40" s="5"/>
    </row>
    <row r="41" spans="2:11" ht="15.75" thickBot="1" x14ac:dyDescent="0.3">
      <c r="B41" s="1425"/>
      <c r="C41" s="92"/>
      <c r="D41" s="125" t="s">
        <v>931</v>
      </c>
      <c r="E41" s="561"/>
      <c r="F41" s="217"/>
      <c r="G41" s="14"/>
      <c r="H41" s="14"/>
      <c r="I41" s="242"/>
      <c r="J41" s="23"/>
      <c r="K41" s="5"/>
    </row>
    <row r="42" spans="2:11" ht="15.75" thickBot="1" x14ac:dyDescent="0.3">
      <c r="B42" s="244"/>
      <c r="C42" s="245"/>
      <c r="D42" s="246"/>
      <c r="E42" s="246"/>
      <c r="F42" s="246"/>
      <c r="G42" s="122"/>
      <c r="H42" s="122"/>
      <c r="I42" s="122"/>
      <c r="J42" s="123"/>
      <c r="K42" s="5"/>
    </row>
    <row r="43" spans="2:11" ht="15.75" thickBot="1" x14ac:dyDescent="0.3">
      <c r="B43" s="1426" t="s">
        <v>935</v>
      </c>
      <c r="C43" s="1427"/>
      <c r="D43" s="1427"/>
      <c r="E43" s="1427"/>
      <c r="F43" s="1427"/>
      <c r="G43" s="1427"/>
      <c r="H43" s="1427"/>
      <c r="I43" s="1428"/>
      <c r="J43" s="123"/>
      <c r="K43" s="5"/>
    </row>
    <row r="44" spans="2:11" ht="24" customHeight="1" thickBot="1" x14ac:dyDescent="0.3">
      <c r="B44" s="1435" t="s">
        <v>936</v>
      </c>
      <c r="C44" s="1436"/>
      <c r="D44" s="1437"/>
      <c r="E44" s="40" t="s">
        <v>937</v>
      </c>
      <c r="F44" s="1435" t="s">
        <v>938</v>
      </c>
      <c r="G44" s="1437"/>
      <c r="H44" s="1435" t="s">
        <v>939</v>
      </c>
      <c r="I44" s="1437"/>
      <c r="J44" s="113"/>
      <c r="K44" s="5"/>
    </row>
    <row r="45" spans="2:11" ht="108" customHeight="1" thickBot="1" x14ac:dyDescent="0.3">
      <c r="B45" s="1473">
        <v>42401</v>
      </c>
      <c r="C45" s="1474"/>
      <c r="D45" s="1475"/>
      <c r="E45" s="40">
        <v>0.01</v>
      </c>
      <c r="F45" s="1476" t="s">
        <v>1084</v>
      </c>
      <c r="G45" s="1477"/>
      <c r="H45" s="1435"/>
      <c r="I45" s="1437"/>
      <c r="J45" s="115"/>
      <c r="K45" s="5"/>
    </row>
    <row r="46" spans="2:11" x14ac:dyDescent="0.25">
      <c r="B46" s="247"/>
      <c r="C46" s="248"/>
      <c r="D46" s="247"/>
      <c r="E46" s="247"/>
      <c r="F46" s="247"/>
      <c r="G46" s="247"/>
      <c r="H46" s="247"/>
      <c r="I46" s="247"/>
      <c r="J46" s="5"/>
      <c r="K46" s="5"/>
    </row>
    <row r="47" spans="2:11" ht="15.75" thickBot="1" x14ac:dyDescent="0.3">
      <c r="B47" s="1"/>
      <c r="C47" s="75"/>
      <c r="D47" s="5"/>
      <c r="E47" s="5"/>
      <c r="F47" s="5"/>
      <c r="G47" s="5"/>
      <c r="H47" s="5"/>
      <c r="I47" s="5"/>
      <c r="J47" s="5"/>
      <c r="K47" s="5"/>
    </row>
    <row r="48" spans="2:11" ht="15.75" thickBot="1" x14ac:dyDescent="0.3">
      <c r="B48" s="4" t="s">
        <v>846</v>
      </c>
      <c r="C48" s="95"/>
      <c r="D48" s="5"/>
      <c r="E48" s="5"/>
      <c r="F48" s="5"/>
      <c r="G48" s="5"/>
      <c r="H48" s="5"/>
      <c r="I48" s="5"/>
      <c r="J48" s="5"/>
      <c r="K48" s="5"/>
    </row>
    <row r="49" spans="2:11" x14ac:dyDescent="0.25">
      <c r="B49" s="1471"/>
      <c r="C49" s="1472"/>
      <c r="D49" s="1472"/>
      <c r="E49" s="1472"/>
      <c r="F49" s="1472"/>
      <c r="G49" s="1472"/>
      <c r="H49" s="1472"/>
      <c r="I49" s="1472"/>
      <c r="J49" s="1472"/>
      <c r="K49" s="5"/>
    </row>
    <row r="50" spans="2:11" x14ac:dyDescent="0.25">
      <c r="B50" s="1471"/>
      <c r="C50" s="1472"/>
      <c r="D50" s="1472"/>
      <c r="E50" s="1472"/>
      <c r="F50" s="1472"/>
      <c r="G50" s="1472"/>
      <c r="H50" s="1472"/>
      <c r="I50" s="1472"/>
      <c r="J50" s="1472"/>
      <c r="K50" s="5"/>
    </row>
    <row r="51" spans="2:11" x14ac:dyDescent="0.25">
      <c r="B51" s="1"/>
      <c r="C51" s="75"/>
      <c r="D51" s="5"/>
      <c r="E51" s="5"/>
      <c r="F51" s="5"/>
      <c r="G51" s="5"/>
      <c r="H51" s="5"/>
      <c r="I51" s="5"/>
      <c r="J51" s="5"/>
      <c r="K51" s="5"/>
    </row>
    <row r="52" spans="2:11" ht="15.75" thickBot="1" x14ac:dyDescent="0.3">
      <c r="B52" s="5"/>
      <c r="D52" s="5"/>
      <c r="E52" s="5"/>
      <c r="F52" s="5"/>
      <c r="G52" s="5"/>
      <c r="H52" s="5"/>
      <c r="I52" s="5"/>
      <c r="J52" s="5"/>
      <c r="K52" s="5"/>
    </row>
    <row r="53" spans="2:11" ht="24.75" thickBot="1" x14ac:dyDescent="0.3">
      <c r="B53" s="50" t="s">
        <v>941</v>
      </c>
      <c r="C53" s="96"/>
      <c r="D53" s="5"/>
      <c r="E53" s="5"/>
      <c r="F53" s="5"/>
      <c r="G53" s="5"/>
      <c r="H53" s="5"/>
      <c r="I53" s="5"/>
      <c r="J53" s="5"/>
      <c r="K53" s="5"/>
    </row>
    <row r="54" spans="2:11" ht="15.75" thickBot="1" x14ac:dyDescent="0.3">
      <c r="B54" s="1"/>
      <c r="C54" s="75"/>
      <c r="D54" s="5"/>
      <c r="E54" s="5"/>
      <c r="F54" s="5"/>
      <c r="G54" s="5"/>
      <c r="H54" s="5"/>
      <c r="I54" s="5"/>
      <c r="J54" s="5"/>
      <c r="K54" s="5"/>
    </row>
    <row r="55" spans="2:11" ht="72.75" thickBot="1" x14ac:dyDescent="0.3">
      <c r="B55" s="51" t="s">
        <v>942</v>
      </c>
      <c r="C55" s="97"/>
      <c r="D55" s="43" t="s">
        <v>1085</v>
      </c>
      <c r="E55" s="5"/>
      <c r="F55" s="5"/>
      <c r="G55" s="5"/>
      <c r="H55" s="5"/>
      <c r="I55" s="5"/>
      <c r="J55" s="5"/>
      <c r="K55" s="5"/>
    </row>
    <row r="56" spans="2:11" x14ac:dyDescent="0.25">
      <c r="B56" s="1423" t="s">
        <v>944</v>
      </c>
      <c r="C56" s="93"/>
      <c r="D56" s="52" t="s">
        <v>945</v>
      </c>
      <c r="E56" s="5"/>
      <c r="F56" s="5"/>
      <c r="G56" s="5"/>
      <c r="H56" s="5"/>
      <c r="I56" s="5"/>
      <c r="J56" s="5"/>
      <c r="K56" s="5"/>
    </row>
    <row r="57" spans="2:11" ht="60" x14ac:dyDescent="0.25">
      <c r="B57" s="1424"/>
      <c r="C57" s="93"/>
      <c r="D57" s="45" t="s">
        <v>1086</v>
      </c>
      <c r="E57" s="5"/>
      <c r="F57" s="5"/>
      <c r="G57" s="5"/>
      <c r="H57" s="5"/>
      <c r="I57" s="5"/>
      <c r="J57" s="5"/>
      <c r="K57" s="5"/>
    </row>
    <row r="58" spans="2:11" x14ac:dyDescent="0.25">
      <c r="B58" s="1424"/>
      <c r="C58" s="93"/>
      <c r="D58" s="52" t="s">
        <v>1029</v>
      </c>
      <c r="E58" s="5"/>
      <c r="F58" s="5"/>
      <c r="G58" s="5"/>
      <c r="H58" s="5"/>
      <c r="I58" s="5"/>
      <c r="J58" s="5"/>
      <c r="K58" s="5"/>
    </row>
    <row r="59" spans="2:11" x14ac:dyDescent="0.25">
      <c r="B59" s="1424"/>
      <c r="C59" s="93"/>
      <c r="D59" s="45" t="s">
        <v>949</v>
      </c>
      <c r="E59" s="5"/>
      <c r="F59" s="5"/>
      <c r="G59" s="5"/>
      <c r="H59" s="5"/>
      <c r="I59" s="5"/>
      <c r="J59" s="5"/>
      <c r="K59" s="5"/>
    </row>
    <row r="60" spans="2:11" x14ac:dyDescent="0.25">
      <c r="B60" s="1424"/>
      <c r="C60" s="93"/>
      <c r="D60" s="45" t="s">
        <v>1052</v>
      </c>
      <c r="E60" s="5"/>
      <c r="F60" s="5"/>
      <c r="G60" s="5"/>
      <c r="H60" s="5"/>
      <c r="I60" s="5"/>
      <c r="J60" s="5"/>
      <c r="K60" s="5"/>
    </row>
    <row r="61" spans="2:11" x14ac:dyDescent="0.25">
      <c r="B61" s="1424"/>
      <c r="C61" s="93"/>
      <c r="D61" s="45" t="s">
        <v>1087</v>
      </c>
      <c r="E61" s="5"/>
      <c r="F61" s="5"/>
      <c r="G61" s="5"/>
      <c r="H61" s="5"/>
      <c r="I61" s="5"/>
      <c r="J61" s="5"/>
      <c r="K61" s="5"/>
    </row>
    <row r="62" spans="2:11" x14ac:dyDescent="0.25">
      <c r="B62" s="1424"/>
      <c r="C62" s="93"/>
      <c r="D62" s="45" t="s">
        <v>1088</v>
      </c>
      <c r="E62" s="5"/>
      <c r="F62" s="5"/>
      <c r="G62" s="5"/>
      <c r="H62" s="5"/>
      <c r="I62" s="5"/>
      <c r="J62" s="5"/>
      <c r="K62" s="5"/>
    </row>
    <row r="63" spans="2:11" ht="24" x14ac:dyDescent="0.25">
      <c r="B63" s="1424"/>
      <c r="C63" s="93"/>
      <c r="D63" s="45" t="s">
        <v>1089</v>
      </c>
      <c r="E63" s="5"/>
      <c r="F63" s="5"/>
      <c r="G63" s="5"/>
      <c r="H63" s="5"/>
      <c r="I63" s="5"/>
      <c r="J63" s="5"/>
      <c r="K63" s="5"/>
    </row>
    <row r="64" spans="2:11" x14ac:dyDescent="0.25">
      <c r="B64" s="1424"/>
      <c r="C64" s="93"/>
      <c r="D64" s="52" t="s">
        <v>1036</v>
      </c>
      <c r="E64" s="5"/>
      <c r="F64" s="5"/>
      <c r="G64" s="5"/>
      <c r="H64" s="5"/>
      <c r="I64" s="5"/>
      <c r="J64" s="5"/>
      <c r="K64" s="5"/>
    </row>
    <row r="65" spans="2:11" ht="15.75" thickBot="1" x14ac:dyDescent="0.3">
      <c r="B65" s="1425"/>
      <c r="C65" s="2"/>
      <c r="D65" s="67"/>
      <c r="E65" s="5"/>
      <c r="F65" s="5"/>
      <c r="G65" s="5"/>
      <c r="H65" s="5"/>
      <c r="I65" s="5"/>
      <c r="J65" s="5"/>
      <c r="K65" s="5"/>
    </row>
    <row r="66" spans="2:11" ht="24.75" thickBot="1" x14ac:dyDescent="0.3">
      <c r="B66" s="46" t="s">
        <v>957</v>
      </c>
      <c r="C66" s="2"/>
      <c r="D66" s="40"/>
      <c r="E66" s="5"/>
      <c r="F66" s="5"/>
      <c r="G66" s="5"/>
      <c r="H66" s="5"/>
      <c r="I66" s="5"/>
      <c r="J66" s="5"/>
      <c r="K66" s="5"/>
    </row>
    <row r="67" spans="2:11" ht="156" x14ac:dyDescent="0.25">
      <c r="B67" s="1423" t="s">
        <v>958</v>
      </c>
      <c r="C67" s="93"/>
      <c r="D67" s="45" t="s">
        <v>1090</v>
      </c>
      <c r="E67" s="5"/>
      <c r="F67" s="5"/>
      <c r="G67" s="5"/>
      <c r="H67" s="5"/>
      <c r="I67" s="5"/>
      <c r="J67" s="5"/>
      <c r="K67" s="5"/>
    </row>
    <row r="68" spans="2:11" ht="132" x14ac:dyDescent="0.25">
      <c r="B68" s="1424"/>
      <c r="C68" s="93"/>
      <c r="D68" s="45" t="s">
        <v>1091</v>
      </c>
      <c r="E68" s="5"/>
      <c r="F68" s="5"/>
      <c r="G68" s="5"/>
      <c r="H68" s="5"/>
      <c r="I68" s="5"/>
      <c r="J68" s="5"/>
      <c r="K68" s="5"/>
    </row>
    <row r="69" spans="2:11" ht="216" x14ac:dyDescent="0.25">
      <c r="B69" s="1424"/>
      <c r="C69" s="93"/>
      <c r="D69" s="45" t="s">
        <v>1092</v>
      </c>
      <c r="E69" s="5"/>
      <c r="F69" s="5"/>
      <c r="G69" s="5"/>
      <c r="H69" s="5"/>
      <c r="I69" s="5"/>
      <c r="J69" s="5"/>
      <c r="K69" s="5"/>
    </row>
    <row r="70" spans="2:11" ht="72" x14ac:dyDescent="0.25">
      <c r="B70" s="1424"/>
      <c r="C70" s="93"/>
      <c r="D70" s="45" t="s">
        <v>1093</v>
      </c>
      <c r="E70" s="5"/>
      <c r="F70" s="5"/>
      <c r="G70" s="5"/>
      <c r="H70" s="5"/>
      <c r="I70" s="5"/>
      <c r="J70" s="5"/>
      <c r="K70" s="5"/>
    </row>
    <row r="71" spans="2:11" ht="15.75" thickBot="1" x14ac:dyDescent="0.3">
      <c r="B71" s="1425"/>
      <c r="C71" s="2"/>
      <c r="D71" s="40"/>
      <c r="E71" s="5"/>
      <c r="F71" s="5"/>
      <c r="G71" s="5"/>
      <c r="H71" s="5"/>
      <c r="I71" s="5"/>
      <c r="J71" s="5"/>
      <c r="K71" s="5"/>
    </row>
    <row r="72" spans="2:11" x14ac:dyDescent="0.25">
      <c r="B72" s="1423" t="s">
        <v>975</v>
      </c>
      <c r="C72" s="93"/>
      <c r="D72" s="45"/>
      <c r="E72" s="5"/>
      <c r="F72" s="5"/>
      <c r="G72" s="5"/>
      <c r="H72" s="5"/>
      <c r="I72" s="5"/>
      <c r="J72" s="5"/>
      <c r="K72" s="5"/>
    </row>
    <row r="73" spans="2:11" x14ac:dyDescent="0.25">
      <c r="B73" s="1424"/>
      <c r="C73" s="93"/>
      <c r="D73" s="16"/>
      <c r="E73" s="5"/>
      <c r="F73" s="5"/>
      <c r="G73" s="5"/>
      <c r="H73" s="5"/>
      <c r="I73" s="5"/>
      <c r="J73" s="5"/>
      <c r="K73" s="5"/>
    </row>
    <row r="74" spans="2:11" x14ac:dyDescent="0.25">
      <c r="B74" s="1424"/>
      <c r="C74" s="93"/>
      <c r="D74" s="45" t="s">
        <v>976</v>
      </c>
      <c r="E74" s="5"/>
      <c r="F74" s="5"/>
      <c r="G74" s="5"/>
      <c r="H74" s="5"/>
      <c r="I74" s="5"/>
      <c r="J74" s="5"/>
      <c r="K74" s="5"/>
    </row>
    <row r="75" spans="2:11" ht="37.5" x14ac:dyDescent="0.25">
      <c r="B75" s="1424"/>
      <c r="C75" s="93"/>
      <c r="D75" s="45" t="s">
        <v>1094</v>
      </c>
      <c r="E75" s="5"/>
      <c r="F75" s="5"/>
      <c r="G75" s="5"/>
      <c r="H75" s="5"/>
      <c r="I75" s="5"/>
      <c r="J75" s="5"/>
      <c r="K75" s="5"/>
    </row>
    <row r="76" spans="2:11" ht="37.5" x14ac:dyDescent="0.25">
      <c r="B76" s="1424"/>
      <c r="C76" s="93"/>
      <c r="D76" s="45" t="s">
        <v>1095</v>
      </c>
      <c r="E76" s="5"/>
      <c r="F76" s="5"/>
      <c r="G76" s="5"/>
      <c r="H76" s="5"/>
      <c r="I76" s="5"/>
      <c r="J76" s="5"/>
      <c r="K76" s="5"/>
    </row>
    <row r="77" spans="2:11" ht="37.5" x14ac:dyDescent="0.25">
      <c r="B77" s="1424"/>
      <c r="C77" s="93"/>
      <c r="D77" s="45" t="s">
        <v>1096</v>
      </c>
      <c r="E77" s="5"/>
      <c r="F77" s="5"/>
      <c r="G77" s="5"/>
      <c r="H77" s="5"/>
      <c r="I77" s="5"/>
      <c r="J77" s="5"/>
      <c r="K77" s="5"/>
    </row>
    <row r="78" spans="2:11" ht="48.75" thickBot="1" x14ac:dyDescent="0.3">
      <c r="B78" s="1425"/>
      <c r="C78" s="2"/>
      <c r="D78" s="40" t="s">
        <v>1097</v>
      </c>
      <c r="E78" s="5"/>
      <c r="F78" s="5"/>
      <c r="G78" s="5"/>
      <c r="H78" s="5"/>
      <c r="I78" s="5"/>
      <c r="J78" s="5"/>
      <c r="K78" s="5"/>
    </row>
  </sheetData>
  <sheetProtection insertColumns="0" insertRows="0"/>
  <mergeCells count="26">
    <mergeCell ref="A4:D4"/>
    <mergeCell ref="A1:J1"/>
    <mergeCell ref="A2:J2"/>
    <mergeCell ref="A3:J3"/>
    <mergeCell ref="A5:J5"/>
    <mergeCell ref="B67:B71"/>
    <mergeCell ref="B72:B78"/>
    <mergeCell ref="B49:J50"/>
    <mergeCell ref="B45:D45"/>
    <mergeCell ref="F45:G45"/>
    <mergeCell ref="H45:I45"/>
    <mergeCell ref="D23:J23"/>
    <mergeCell ref="D24:J24"/>
    <mergeCell ref="B35:B41"/>
    <mergeCell ref="B27:B33"/>
    <mergeCell ref="B56:B65"/>
    <mergeCell ref="B43:I43"/>
    <mergeCell ref="B44:D44"/>
    <mergeCell ref="F44:G44"/>
    <mergeCell ref="H44:I44"/>
    <mergeCell ref="B10:D10"/>
    <mergeCell ref="E12:J12"/>
    <mergeCell ref="E13:J13"/>
    <mergeCell ref="B15:B22"/>
    <mergeCell ref="D15:J15"/>
    <mergeCell ref="D18:J18"/>
  </mergeCells>
  <conditionalFormatting sqref="F10">
    <cfRule type="notContainsBlanks" dxfId="112" priority="4">
      <formula>LEN(TRIM(F10))&gt;0</formula>
    </cfRule>
  </conditionalFormatting>
  <conditionalFormatting sqref="F11:S11">
    <cfRule type="expression" dxfId="111" priority="2">
      <formula>E11="NO SE REPORTA"</formula>
    </cfRule>
    <cfRule type="expression" dxfId="110" priority="3">
      <formula>E10="NO APLICA"</formula>
    </cfRule>
  </conditionalFormatting>
  <conditionalFormatting sqref="E12 K12:R15">
    <cfRule type="expression" dxfId="109"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U115"/>
  <sheetViews>
    <sheetView showGridLines="0" topLeftCell="C1" zoomScale="98" zoomScaleNormal="98" workbookViewId="0">
      <selection activeCell="L33" sqref="L3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37.85546875" customWidth="1"/>
    <col min="6" max="7" width="12.42578125" customWidth="1"/>
    <col min="8" max="8" width="12.7109375" customWidth="1"/>
    <col min="9" max="9" width="12.85546875" customWidth="1"/>
  </cols>
  <sheetData>
    <row r="1" spans="1:21" s="387" customFormat="1" ht="100.5" customHeight="1" thickBot="1" x14ac:dyDescent="0.3">
      <c r="A1" s="1391"/>
      <c r="B1" s="1392"/>
      <c r="C1" s="1392"/>
      <c r="D1" s="1392"/>
      <c r="E1" s="1392"/>
      <c r="F1" s="1392"/>
      <c r="G1" s="1392"/>
      <c r="H1" s="1392"/>
      <c r="I1" s="1392"/>
      <c r="J1" s="1392"/>
      <c r="K1" s="1393"/>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0"/>
      <c r="K2" s="1401"/>
      <c r="L2"/>
      <c r="M2"/>
      <c r="N2"/>
      <c r="O2"/>
      <c r="P2"/>
      <c r="Q2"/>
      <c r="R2"/>
    </row>
    <row r="3" spans="1:21" s="388" customFormat="1" ht="16.5" customHeight="1" thickBot="1" x14ac:dyDescent="0.3">
      <c r="A3" s="1236" t="s">
        <v>841</v>
      </c>
      <c r="B3" s="1237"/>
      <c r="C3" s="1237"/>
      <c r="D3" s="1237"/>
      <c r="E3" s="1237"/>
      <c r="F3" s="1237"/>
      <c r="G3" s="1237"/>
      <c r="H3" s="1237"/>
      <c r="I3" s="1237"/>
      <c r="J3" s="1237"/>
      <c r="K3" s="1238"/>
      <c r="L3"/>
      <c r="M3"/>
      <c r="N3"/>
      <c r="O3"/>
      <c r="P3"/>
      <c r="Q3"/>
      <c r="R3"/>
    </row>
    <row r="4" spans="1:21" s="388" customFormat="1" ht="16.5" thickBot="1" x14ac:dyDescent="0.3">
      <c r="A4" s="1397" t="s">
        <v>62</v>
      </c>
      <c r="B4" s="1398"/>
      <c r="C4" s="1398"/>
      <c r="D4" s="1398"/>
      <c r="E4" s="405" t="str">
        <f>'Datos Generales'!C6</f>
        <v>2022-II</v>
      </c>
      <c r="F4" s="405"/>
      <c r="G4" s="405"/>
      <c r="H4" s="405"/>
      <c r="I4" s="405"/>
      <c r="J4" s="405"/>
      <c r="K4" s="406"/>
      <c r="L4"/>
      <c r="M4"/>
      <c r="N4"/>
      <c r="O4"/>
      <c r="P4"/>
      <c r="Q4"/>
      <c r="R4"/>
    </row>
    <row r="5" spans="1:21" ht="36.75" customHeight="1" thickBot="1" x14ac:dyDescent="0.3">
      <c r="A5" s="1236" t="s">
        <v>91</v>
      </c>
      <c r="B5" s="1237"/>
      <c r="C5" s="1237"/>
      <c r="D5" s="1237"/>
      <c r="E5" s="1237"/>
      <c r="F5" s="1237"/>
      <c r="G5" s="1237"/>
      <c r="H5" s="1237"/>
      <c r="I5" s="1237"/>
      <c r="J5" s="1237"/>
      <c r="K5" s="1238"/>
    </row>
    <row r="6" spans="1:21" x14ac:dyDescent="0.25">
      <c r="B6" s="1" t="s">
        <v>878</v>
      </c>
      <c r="C6" s="75"/>
      <c r="D6" s="5"/>
      <c r="E6" s="73">
        <v>4</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INFORMACION",))+F27</f>
        <v>1</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S11" s="557"/>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79" t="s">
        <v>2104</v>
      </c>
      <c r="F12" s="1479"/>
      <c r="G12" s="1479"/>
      <c r="H12" s="1479"/>
      <c r="I12" s="1479"/>
      <c r="J12" s="1479"/>
      <c r="K12" s="1479"/>
    </row>
    <row r="13" spans="1:21" ht="21.95" customHeight="1" x14ac:dyDescent="0.25">
      <c r="B13" s="356"/>
      <c r="C13" s="87"/>
      <c r="D13" s="171" t="s">
        <v>887</v>
      </c>
      <c r="E13" s="1457"/>
      <c r="F13" s="1457"/>
      <c r="G13" s="1457"/>
      <c r="H13" s="1457"/>
      <c r="I13" s="1457"/>
      <c r="J13" s="1457"/>
      <c r="K13" s="1457"/>
    </row>
    <row r="14" spans="1:21" ht="6.95" customHeight="1" thickBot="1" x14ac:dyDescent="0.3">
      <c r="B14" s="356"/>
      <c r="C14" s="87"/>
      <c r="D14" s="5"/>
      <c r="E14" s="5"/>
      <c r="F14" s="5"/>
      <c r="G14" s="5"/>
      <c r="H14" s="5"/>
      <c r="I14" s="5"/>
      <c r="J14" s="5"/>
      <c r="K14" s="5"/>
    </row>
    <row r="15" spans="1:21" ht="15" customHeight="1" thickTop="1" x14ac:dyDescent="0.25">
      <c r="B15" s="1478" t="s">
        <v>888</v>
      </c>
      <c r="C15" s="88"/>
      <c r="D15" s="1408" t="s">
        <v>889</v>
      </c>
      <c r="E15" s="1409"/>
      <c r="F15" s="1409"/>
      <c r="G15" s="1409"/>
      <c r="H15" s="1409"/>
      <c r="I15" s="1409"/>
      <c r="J15" s="1409"/>
      <c r="K15" s="1410"/>
    </row>
    <row r="16" spans="1:21" ht="15.75" thickBot="1" x14ac:dyDescent="0.3">
      <c r="B16" s="1403"/>
      <c r="C16" s="91"/>
      <c r="D16" s="1411" t="s">
        <v>1098</v>
      </c>
      <c r="E16" s="1412"/>
      <c r="F16" s="1412"/>
      <c r="G16" s="1412"/>
      <c r="H16" s="1412"/>
      <c r="I16" s="1412"/>
      <c r="J16" s="1412"/>
      <c r="K16" s="1413"/>
    </row>
    <row r="17" spans="2:11" ht="15.75" thickBot="1" x14ac:dyDescent="0.3">
      <c r="B17" s="1403"/>
      <c r="C17" s="97" t="s">
        <v>842</v>
      </c>
      <c r="D17" s="38" t="s">
        <v>1099</v>
      </c>
      <c r="E17" s="38" t="s">
        <v>909</v>
      </c>
      <c r="F17" s="38" t="s">
        <v>910</v>
      </c>
      <c r="G17" s="38" t="s">
        <v>911</v>
      </c>
      <c r="H17" s="38" t="s">
        <v>912</v>
      </c>
      <c r="I17" s="218"/>
      <c r="K17" s="21"/>
    </row>
    <row r="18" spans="2:11" ht="15.75" thickBot="1" x14ac:dyDescent="0.3">
      <c r="B18" s="1403"/>
      <c r="C18" s="2" t="s">
        <v>1017</v>
      </c>
      <c r="D18" s="39" t="s">
        <v>1100</v>
      </c>
      <c r="E18" s="205">
        <v>4</v>
      </c>
      <c r="F18" s="205">
        <v>4</v>
      </c>
      <c r="G18" s="205">
        <v>5</v>
      </c>
      <c r="H18" s="205">
        <v>5</v>
      </c>
      <c r="I18" s="253"/>
      <c r="K18" s="21"/>
    </row>
    <row r="19" spans="2:11" ht="15.75" thickBot="1" x14ac:dyDescent="0.3">
      <c r="B19" s="1403"/>
      <c r="C19" s="2" t="s">
        <v>1019</v>
      </c>
      <c r="D19" s="39" t="s">
        <v>1101</v>
      </c>
      <c r="E19" s="205">
        <v>4</v>
      </c>
      <c r="F19" s="205">
        <v>4</v>
      </c>
      <c r="G19" s="205">
        <v>4</v>
      </c>
      <c r="H19" s="205">
        <v>5</v>
      </c>
      <c r="I19" s="253"/>
      <c r="K19" s="21"/>
    </row>
    <row r="20" spans="2:11" ht="15.75" thickBot="1" x14ac:dyDescent="0.3">
      <c r="B20" s="1403"/>
      <c r="C20" s="2" t="s">
        <v>1021</v>
      </c>
      <c r="D20" s="39" t="s">
        <v>1102</v>
      </c>
      <c r="E20" s="205">
        <v>0</v>
      </c>
      <c r="F20" s="205">
        <v>0</v>
      </c>
      <c r="G20" s="205">
        <v>0</v>
      </c>
      <c r="H20" s="205">
        <v>0</v>
      </c>
      <c r="I20" s="253"/>
      <c r="K20" s="21"/>
    </row>
    <row r="21" spans="2:11" ht="15.75" thickBot="1" x14ac:dyDescent="0.3">
      <c r="B21" s="1403"/>
      <c r="C21" s="2" t="s">
        <v>1103</v>
      </c>
      <c r="D21" s="39" t="s">
        <v>1104</v>
      </c>
      <c r="E21" s="205">
        <v>0</v>
      </c>
      <c r="F21" s="205">
        <v>0</v>
      </c>
      <c r="G21" s="205">
        <v>0</v>
      </c>
      <c r="H21" s="205">
        <v>0</v>
      </c>
      <c r="I21" s="253"/>
      <c r="K21" s="21"/>
    </row>
    <row r="22" spans="2:11" ht="15.75" thickBot="1" x14ac:dyDescent="0.3">
      <c r="B22" s="1403"/>
      <c r="C22" s="2" t="s">
        <v>1105</v>
      </c>
      <c r="D22" s="39" t="s">
        <v>1106</v>
      </c>
      <c r="E22" s="205">
        <v>0</v>
      </c>
      <c r="F22" s="205">
        <v>0</v>
      </c>
      <c r="G22" s="205">
        <v>0</v>
      </c>
      <c r="H22" s="205">
        <v>0</v>
      </c>
      <c r="I22" s="253"/>
      <c r="K22" s="21"/>
    </row>
    <row r="23" spans="2:11" ht="15.75" thickBot="1" x14ac:dyDescent="0.3">
      <c r="B23" s="1403"/>
      <c r="C23" s="2" t="s">
        <v>1107</v>
      </c>
      <c r="D23" s="39" t="s">
        <v>1108</v>
      </c>
      <c r="E23" s="205">
        <v>0</v>
      </c>
      <c r="F23" s="205">
        <v>0</v>
      </c>
      <c r="G23" s="205">
        <v>0</v>
      </c>
      <c r="H23" s="205">
        <v>0</v>
      </c>
      <c r="I23" s="253"/>
      <c r="K23" s="21"/>
    </row>
    <row r="24" spans="2:11" ht="15.75" thickBot="1" x14ac:dyDescent="0.3">
      <c r="B24" s="1403"/>
      <c r="C24" s="2" t="s">
        <v>1109</v>
      </c>
      <c r="D24" s="39" t="s">
        <v>1110</v>
      </c>
      <c r="E24" s="185">
        <f>IFERROR(E19/E18,"N.A.")</f>
        <v>1</v>
      </c>
      <c r="F24" s="185">
        <f>IFERROR(F19/F18,"N.A.")</f>
        <v>1</v>
      </c>
      <c r="G24" s="185">
        <f>IFERROR(G19/G18,"N.A.")</f>
        <v>0.8</v>
      </c>
      <c r="H24" s="185">
        <f>IFERROR(H19/H18,"N.A.")</f>
        <v>1</v>
      </c>
      <c r="I24" s="235"/>
      <c r="K24" s="21"/>
    </row>
    <row r="25" spans="2:11" ht="15.75" thickBot="1" x14ac:dyDescent="0.3">
      <c r="B25" s="1403"/>
      <c r="C25" s="2" t="s">
        <v>1111</v>
      </c>
      <c r="D25" s="39" t="s">
        <v>1112</v>
      </c>
      <c r="E25" s="185" t="str">
        <f>IFERROR(E21/E20,"N.A.")</f>
        <v>N.A.</v>
      </c>
      <c r="F25" s="185" t="str">
        <f>IFERROR(F21/F20,"N.A.")</f>
        <v>N.A.</v>
      </c>
      <c r="G25" s="185" t="str">
        <f>IFERROR(G21/G20,"N.A.")</f>
        <v>N.A.</v>
      </c>
      <c r="H25" s="185" t="str">
        <f>IFERROR(H21/H20,"N.A.")</f>
        <v>N.A.</v>
      </c>
      <c r="I25" s="235"/>
      <c r="K25" s="21"/>
    </row>
    <row r="26" spans="2:11" ht="15.75" thickBot="1" x14ac:dyDescent="0.3">
      <c r="B26" s="1403"/>
      <c r="C26" s="2" t="s">
        <v>1113</v>
      </c>
      <c r="D26" s="39" t="s">
        <v>1114</v>
      </c>
      <c r="E26" s="185" t="str">
        <f>IFERROR(E23/E22,"N.A.")</f>
        <v>N.A.</v>
      </c>
      <c r="F26" s="185" t="str">
        <f>IFERROR(F23/F22,"N.A.")</f>
        <v>N.A.</v>
      </c>
      <c r="G26" s="185" t="str">
        <f>IFERROR(G23/G22,"N.A.")</f>
        <v>N.A.</v>
      </c>
      <c r="H26" s="185" t="str">
        <f>IFERROR(H23/H22,"N.A.")</f>
        <v>N.A.</v>
      </c>
      <c r="I26" s="235"/>
      <c r="K26" s="21"/>
    </row>
    <row r="27" spans="2:11" ht="15.75" thickBot="1" x14ac:dyDescent="0.3">
      <c r="B27" s="250"/>
      <c r="C27" s="100"/>
      <c r="D27" s="251" t="s">
        <v>1115</v>
      </c>
      <c r="E27" s="185">
        <f>IFERROR(AVERAGE(E24:E26),"N.A.")</f>
        <v>1</v>
      </c>
      <c r="F27" s="185">
        <f>IFERROR(AVERAGE(F24:F26),"N.A.")</f>
        <v>1</v>
      </c>
      <c r="G27" s="185">
        <f>IFERROR(AVERAGE(G24:G26),"N.A.")</f>
        <v>0.8</v>
      </c>
      <c r="H27" s="185">
        <f>IFERROR(AVERAGE(H24:H26),"N.A.")</f>
        <v>1</v>
      </c>
      <c r="I27" s="235"/>
      <c r="K27" s="21"/>
    </row>
    <row r="28" spans="2:11" x14ac:dyDescent="0.25">
      <c r="B28" s="216"/>
      <c r="C28" s="91"/>
      <c r="D28" s="1414"/>
      <c r="E28" s="1415"/>
      <c r="F28" s="1415"/>
      <c r="G28" s="1415"/>
      <c r="H28" s="1415"/>
      <c r="I28" s="1415"/>
      <c r="J28" s="1415"/>
      <c r="K28" s="1416"/>
    </row>
    <row r="29" spans="2:11" x14ac:dyDescent="0.25">
      <c r="B29" s="216"/>
      <c r="C29" s="91"/>
      <c r="D29" s="1411" t="s">
        <v>1116</v>
      </c>
      <c r="E29" s="1412"/>
      <c r="F29" s="1412"/>
      <c r="G29" s="1412"/>
      <c r="H29" s="1412"/>
      <c r="I29" s="1412"/>
      <c r="J29" s="1412"/>
      <c r="K29" s="1413"/>
    </row>
    <row r="30" spans="2:11" ht="15.75" thickBot="1" x14ac:dyDescent="0.3">
      <c r="B30" s="216"/>
      <c r="C30" s="91"/>
      <c r="D30" s="1405" t="s">
        <v>1117</v>
      </c>
      <c r="E30" s="1406"/>
      <c r="F30" s="1406"/>
      <c r="G30" s="1406"/>
      <c r="H30" s="1406"/>
      <c r="I30" s="1406"/>
      <c r="J30" s="1406"/>
      <c r="K30" s="1407"/>
    </row>
    <row r="31" spans="2:11" ht="24.75" thickBot="1" x14ac:dyDescent="0.3">
      <c r="B31" s="216"/>
      <c r="C31" s="97" t="s">
        <v>842</v>
      </c>
      <c r="D31" s="43" t="s">
        <v>1118</v>
      </c>
      <c r="E31" s="43" t="s">
        <v>1119</v>
      </c>
      <c r="F31" s="43" t="s">
        <v>1120</v>
      </c>
      <c r="G31" s="43" t="s">
        <v>1121</v>
      </c>
      <c r="H31" s="43" t="s">
        <v>1122</v>
      </c>
      <c r="I31" s="43" t="s">
        <v>1123</v>
      </c>
      <c r="J31" s="43" t="s">
        <v>846</v>
      </c>
      <c r="K31" s="113"/>
    </row>
    <row r="32" spans="2:11" s="188" customFormat="1" ht="15.75" thickBot="1" x14ac:dyDescent="0.3">
      <c r="B32" s="215"/>
      <c r="C32" s="8">
        <v>1</v>
      </c>
      <c r="D32" s="30" t="s">
        <v>2105</v>
      </c>
      <c r="E32" s="160" t="s">
        <v>901</v>
      </c>
      <c r="F32" s="206"/>
      <c r="G32" s="206"/>
      <c r="H32" s="206"/>
      <c r="I32" s="206"/>
      <c r="J32" s="30"/>
      <c r="K32" s="111"/>
    </row>
    <row r="33" spans="2:11" s="188" customFormat="1" ht="15.75" thickBot="1" x14ac:dyDescent="0.3">
      <c r="B33" s="215"/>
      <c r="C33" s="8">
        <v>2</v>
      </c>
      <c r="D33" s="30" t="s">
        <v>2106</v>
      </c>
      <c r="E33" s="160" t="s">
        <v>2089</v>
      </c>
      <c r="F33" s="591">
        <v>4114264664</v>
      </c>
      <c r="G33" s="591">
        <f t="shared" ref="G33:G38" si="0">+F33</f>
        <v>4114264664</v>
      </c>
      <c r="H33" s="591">
        <v>1684666549.3194871</v>
      </c>
      <c r="I33" s="591">
        <v>1569905949.9382937</v>
      </c>
      <c r="J33" s="30"/>
      <c r="K33" s="111"/>
    </row>
    <row r="34" spans="2:11" s="188" customFormat="1" ht="15.75" thickBot="1" x14ac:dyDescent="0.3">
      <c r="B34" s="215"/>
      <c r="C34" s="8">
        <v>3</v>
      </c>
      <c r="D34" s="30" t="s">
        <v>2106</v>
      </c>
      <c r="E34" s="160" t="s">
        <v>2085</v>
      </c>
      <c r="F34" s="591">
        <v>37028381982</v>
      </c>
      <c r="G34" s="591">
        <f t="shared" si="0"/>
        <v>37028381982</v>
      </c>
      <c r="H34" s="591">
        <v>15161998946.332203</v>
      </c>
      <c r="I34" s="591">
        <v>14129153551.734102</v>
      </c>
      <c r="J34" s="30"/>
      <c r="K34" s="111"/>
    </row>
    <row r="35" spans="2:11" s="188" customFormat="1" ht="15.75" thickBot="1" x14ac:dyDescent="0.3">
      <c r="B35" s="215"/>
      <c r="C35" s="8">
        <v>4</v>
      </c>
      <c r="D35" s="30" t="s">
        <v>2106</v>
      </c>
      <c r="E35" s="160" t="s">
        <v>2087</v>
      </c>
      <c r="F35" s="591">
        <v>27848887827</v>
      </c>
      <c r="G35" s="591">
        <f t="shared" si="0"/>
        <v>27848887827</v>
      </c>
      <c r="H35" s="591">
        <v>11403274604.187584</v>
      </c>
      <c r="I35" s="591">
        <v>10626475997.35733</v>
      </c>
      <c r="J35" s="30"/>
      <c r="K35" s="111"/>
    </row>
    <row r="36" spans="2:11" s="188" customFormat="1" ht="15.75" thickBot="1" x14ac:dyDescent="0.3">
      <c r="B36" s="215"/>
      <c r="C36" s="8">
        <v>5</v>
      </c>
      <c r="D36" s="30" t="s">
        <v>2106</v>
      </c>
      <c r="E36" s="160" t="s">
        <v>2086</v>
      </c>
      <c r="F36" s="591">
        <v>19206405724</v>
      </c>
      <c r="G36" s="591">
        <f t="shared" si="0"/>
        <v>19206405724</v>
      </c>
      <c r="H36" s="591">
        <v>7864440403.8954954</v>
      </c>
      <c r="I36" s="591">
        <v>7328709522.9604568</v>
      </c>
      <c r="J36" s="30"/>
      <c r="K36" s="111"/>
    </row>
    <row r="37" spans="2:11" s="188" customFormat="1" ht="15.75" thickBot="1" x14ac:dyDescent="0.3">
      <c r="B37" s="215"/>
      <c r="C37" s="8">
        <v>6</v>
      </c>
      <c r="D37" s="30" t="s">
        <v>2106</v>
      </c>
      <c r="E37" s="160" t="s">
        <v>2090</v>
      </c>
      <c r="F37" s="591">
        <v>205383368</v>
      </c>
      <c r="G37" s="591">
        <f t="shared" si="0"/>
        <v>205383368</v>
      </c>
      <c r="H37" s="591">
        <v>84098257.674989089</v>
      </c>
      <c r="I37" s="591">
        <v>78369428.749410719</v>
      </c>
      <c r="J37" s="30"/>
      <c r="K37" s="111"/>
    </row>
    <row r="38" spans="2:11" s="188" customFormat="1" ht="15.75" thickBot="1" x14ac:dyDescent="0.3">
      <c r="B38" s="215"/>
      <c r="C38" s="8">
        <v>7</v>
      </c>
      <c r="D38" s="30" t="s">
        <v>2106</v>
      </c>
      <c r="E38" s="160" t="s">
        <v>2088</v>
      </c>
      <c r="F38" s="591">
        <v>259070635</v>
      </c>
      <c r="G38" s="591">
        <f t="shared" si="0"/>
        <v>259070635</v>
      </c>
      <c r="H38" s="591">
        <v>106081564.59024006</v>
      </c>
      <c r="I38" s="591">
        <v>98855218.260405034</v>
      </c>
      <c r="J38" s="30"/>
      <c r="K38" s="111"/>
    </row>
    <row r="39" spans="2:11" ht="15.75" thickBot="1" x14ac:dyDescent="0.3">
      <c r="B39" s="216"/>
      <c r="C39" s="2"/>
      <c r="D39" s="40" t="s">
        <v>1016</v>
      </c>
      <c r="E39" s="40"/>
      <c r="F39" s="1221">
        <f>SUM(F32:F38)</f>
        <v>88662394200</v>
      </c>
      <c r="G39" s="1221">
        <f>SUM(G32:G38)</f>
        <v>88662394200</v>
      </c>
      <c r="H39" s="1221">
        <f>SUM(H32:H38)</f>
        <v>36304560325.999992</v>
      </c>
      <c r="I39" s="1221">
        <f>SUM(I32:I38)</f>
        <v>33831469669</v>
      </c>
      <c r="J39" s="30"/>
      <c r="K39" s="115"/>
    </row>
    <row r="40" spans="2:11" ht="15.75" thickBot="1" x14ac:dyDescent="0.3">
      <c r="B40" s="46"/>
      <c r="C40" s="92"/>
      <c r="D40" s="1435" t="s">
        <v>1124</v>
      </c>
      <c r="E40" s="1436"/>
      <c r="F40" s="1436"/>
      <c r="G40" s="1436"/>
      <c r="H40" s="1436"/>
      <c r="I40" s="1436"/>
      <c r="J40" s="1436"/>
      <c r="K40" s="1437"/>
    </row>
    <row r="41" spans="2:11" ht="36" customHeight="1" thickBot="1" x14ac:dyDescent="0.3">
      <c r="B41" s="71" t="s">
        <v>924</v>
      </c>
      <c r="C41" s="106"/>
      <c r="D41" s="1435" t="s">
        <v>1125</v>
      </c>
      <c r="E41" s="1436"/>
      <c r="F41" s="1436"/>
      <c r="G41" s="1436"/>
      <c r="H41" s="1436"/>
      <c r="I41" s="1436"/>
      <c r="J41" s="1436"/>
      <c r="K41" s="1437"/>
    </row>
    <row r="42" spans="2:11" ht="23.25" thickBot="1" x14ac:dyDescent="0.3">
      <c r="B42" s="71" t="s">
        <v>926</v>
      </c>
      <c r="C42" s="106"/>
      <c r="D42" s="1435" t="s">
        <v>1126</v>
      </c>
      <c r="E42" s="1436"/>
      <c r="F42" s="1436"/>
      <c r="G42" s="1436"/>
      <c r="H42" s="1436"/>
      <c r="I42" s="1436"/>
      <c r="J42" s="1436"/>
      <c r="K42" s="1437"/>
    </row>
    <row r="43" spans="2:11" ht="15.75" thickBot="1" x14ac:dyDescent="0.3">
      <c r="B43" s="1"/>
      <c r="C43" s="75"/>
      <c r="D43" s="5"/>
      <c r="E43" s="5"/>
      <c r="F43" s="5"/>
      <c r="G43" s="5"/>
      <c r="H43" s="5"/>
      <c r="I43" s="5"/>
      <c r="J43" s="5"/>
      <c r="K43" s="5"/>
    </row>
    <row r="44" spans="2:11" ht="24" customHeight="1" thickBot="1" x14ac:dyDescent="0.3">
      <c r="B44" s="1426" t="s">
        <v>928</v>
      </c>
      <c r="C44" s="1427"/>
      <c r="D44" s="1427"/>
      <c r="E44" s="1428"/>
      <c r="F44" s="5"/>
      <c r="G44" s="5"/>
      <c r="H44" s="5"/>
      <c r="I44" s="5"/>
      <c r="J44" s="5"/>
      <c r="K44" s="5"/>
    </row>
    <row r="45" spans="2:11" ht="15.75" thickBot="1" x14ac:dyDescent="0.3">
      <c r="B45" s="1423">
        <v>1</v>
      </c>
      <c r="C45" s="93"/>
      <c r="D45" s="47" t="s">
        <v>929</v>
      </c>
      <c r="E45" s="30" t="s">
        <v>2093</v>
      </c>
      <c r="F45" s="5"/>
      <c r="G45" s="5"/>
      <c r="H45" s="5"/>
      <c r="I45" s="5"/>
      <c r="J45" s="5"/>
      <c r="K45" s="5"/>
    </row>
    <row r="46" spans="2:11" ht="15.75" thickBot="1" x14ac:dyDescent="0.3">
      <c r="B46" s="1424"/>
      <c r="C46" s="93"/>
      <c r="D46" s="40" t="s">
        <v>7</v>
      </c>
      <c r="E46" s="30" t="s">
        <v>2102</v>
      </c>
      <c r="F46" s="5"/>
      <c r="G46" s="5"/>
      <c r="H46" s="5"/>
      <c r="I46" s="5"/>
      <c r="J46" s="5"/>
      <c r="K46" s="5"/>
    </row>
    <row r="47" spans="2:11" ht="15.75" thickBot="1" x14ac:dyDescent="0.3">
      <c r="B47" s="1424"/>
      <c r="C47" s="93"/>
      <c r="D47" s="40" t="s">
        <v>930</v>
      </c>
      <c r="E47" s="30" t="s">
        <v>2103</v>
      </c>
      <c r="F47" s="5"/>
      <c r="G47" s="5"/>
      <c r="H47" s="5"/>
      <c r="I47" s="5"/>
      <c r="J47" s="5"/>
      <c r="K47" s="5"/>
    </row>
    <row r="48" spans="2:11" ht="15.75" thickBot="1" x14ac:dyDescent="0.3">
      <c r="B48" s="1424"/>
      <c r="C48" s="93"/>
      <c r="D48" s="40" t="s">
        <v>9</v>
      </c>
      <c r="E48" s="30" t="s">
        <v>2095</v>
      </c>
      <c r="F48" s="5"/>
      <c r="G48" s="5"/>
      <c r="H48" s="5"/>
      <c r="I48" s="5"/>
      <c r="J48" s="5"/>
      <c r="K48" s="5"/>
    </row>
    <row r="49" spans="2:11" ht="15.75" thickBot="1" x14ac:dyDescent="0.3">
      <c r="B49" s="1424"/>
      <c r="C49" s="93"/>
      <c r="D49" s="40" t="s">
        <v>11</v>
      </c>
      <c r="E49" s="30" t="s">
        <v>2096</v>
      </c>
      <c r="F49" s="5"/>
      <c r="G49" s="5"/>
      <c r="H49" s="5"/>
      <c r="I49" s="5"/>
      <c r="J49" s="5"/>
      <c r="K49" s="5"/>
    </row>
    <row r="50" spans="2:11" ht="15.75" thickBot="1" x14ac:dyDescent="0.3">
      <c r="B50" s="1424"/>
      <c r="C50" s="93"/>
      <c r="D50" s="40" t="s">
        <v>13</v>
      </c>
      <c r="E50" s="30">
        <v>6695278</v>
      </c>
      <c r="F50" s="5"/>
      <c r="G50" s="5"/>
      <c r="H50" s="5"/>
      <c r="I50" s="5"/>
      <c r="J50" s="5"/>
      <c r="K50" s="5"/>
    </row>
    <row r="51" spans="2:11" ht="15.75" thickBot="1" x14ac:dyDescent="0.3">
      <c r="B51" s="1425"/>
      <c r="C51" s="2"/>
      <c r="D51" s="40" t="s">
        <v>931</v>
      </c>
      <c r="E51" s="30" t="s">
        <v>2097</v>
      </c>
      <c r="F51" s="5"/>
      <c r="G51" s="5"/>
      <c r="H51" s="5"/>
      <c r="I51" s="5"/>
      <c r="J51" s="5"/>
      <c r="K51" s="5"/>
    </row>
    <row r="52" spans="2:11" ht="15.75" thickBot="1" x14ac:dyDescent="0.3">
      <c r="B52" s="1"/>
      <c r="C52" s="75"/>
      <c r="D52" s="5"/>
      <c r="E52" s="5"/>
      <c r="F52" s="5"/>
      <c r="G52" s="5"/>
      <c r="H52" s="5"/>
      <c r="I52" s="5"/>
      <c r="J52" s="5"/>
      <c r="K52" s="5"/>
    </row>
    <row r="53" spans="2:11" ht="15.75" thickBot="1" x14ac:dyDescent="0.3">
      <c r="B53" s="1426" t="s">
        <v>932</v>
      </c>
      <c r="C53" s="1427"/>
      <c r="D53" s="1427"/>
      <c r="E53" s="1428"/>
      <c r="F53" s="5"/>
      <c r="G53" s="5"/>
      <c r="H53" s="5"/>
      <c r="I53" s="5"/>
      <c r="J53" s="5"/>
      <c r="K53" s="5"/>
    </row>
    <row r="54" spans="2:11" ht="15.75" thickBot="1" x14ac:dyDescent="0.3">
      <c r="B54" s="1423">
        <v>1</v>
      </c>
      <c r="C54" s="93"/>
      <c r="D54" s="47" t="s">
        <v>929</v>
      </c>
      <c r="E54" s="217" t="s">
        <v>933</v>
      </c>
      <c r="F54" s="5"/>
      <c r="G54" s="5"/>
      <c r="H54" s="5"/>
      <c r="I54" s="5"/>
      <c r="J54" s="5"/>
      <c r="K54" s="5"/>
    </row>
    <row r="55" spans="2:11" ht="15.75" thickBot="1" x14ac:dyDescent="0.3">
      <c r="B55" s="1424"/>
      <c r="C55" s="93"/>
      <c r="D55" s="40" t="s">
        <v>7</v>
      </c>
      <c r="E55" s="217" t="s">
        <v>934</v>
      </c>
      <c r="F55" s="5"/>
      <c r="G55" s="5"/>
      <c r="H55" s="5"/>
      <c r="I55" s="5"/>
      <c r="J55" s="5"/>
      <c r="K55" s="5"/>
    </row>
    <row r="56" spans="2:11" ht="15.75" thickBot="1" x14ac:dyDescent="0.3">
      <c r="B56" s="1424"/>
      <c r="C56" s="93"/>
      <c r="D56" s="40" t="s">
        <v>930</v>
      </c>
      <c r="E56" s="234"/>
      <c r="F56" s="5"/>
      <c r="G56" s="5"/>
      <c r="H56" s="5"/>
      <c r="I56" s="5"/>
      <c r="J56" s="5"/>
      <c r="K56" s="5"/>
    </row>
    <row r="57" spans="2:11" ht="15.75" thickBot="1" x14ac:dyDescent="0.3">
      <c r="B57" s="1424"/>
      <c r="C57" s="93"/>
      <c r="D57" s="40" t="s">
        <v>9</v>
      </c>
      <c r="E57" s="234"/>
      <c r="F57" s="5"/>
      <c r="G57" s="5"/>
      <c r="H57" s="5"/>
      <c r="I57" s="5"/>
      <c r="J57" s="5"/>
      <c r="K57" s="5"/>
    </row>
    <row r="58" spans="2:11" ht="15.75" thickBot="1" x14ac:dyDescent="0.3">
      <c r="B58" s="1424"/>
      <c r="C58" s="93"/>
      <c r="D58" s="40" t="s">
        <v>11</v>
      </c>
      <c r="E58" s="234"/>
      <c r="F58" s="5"/>
      <c r="G58" s="5"/>
      <c r="H58" s="5"/>
      <c r="I58" s="5"/>
      <c r="J58" s="5"/>
      <c r="K58" s="5"/>
    </row>
    <row r="59" spans="2:11" ht="15.75" thickBot="1" x14ac:dyDescent="0.3">
      <c r="B59" s="1424"/>
      <c r="C59" s="93"/>
      <c r="D59" s="40" t="s">
        <v>13</v>
      </c>
      <c r="E59" s="234"/>
      <c r="F59" s="5"/>
      <c r="G59" s="5"/>
      <c r="H59" s="5"/>
      <c r="I59" s="5"/>
      <c r="J59" s="5"/>
      <c r="K59" s="5"/>
    </row>
    <row r="60" spans="2:11" ht="15.75" thickBot="1" x14ac:dyDescent="0.3">
      <c r="B60" s="1425"/>
      <c r="C60" s="2"/>
      <c r="D60" s="40" t="s">
        <v>931</v>
      </c>
      <c r="E60" s="234"/>
      <c r="F60" s="5"/>
      <c r="G60" s="5"/>
      <c r="H60" s="5"/>
      <c r="I60" s="5"/>
      <c r="J60" s="5"/>
      <c r="K60" s="5"/>
    </row>
    <row r="61" spans="2:11" ht="15.75" thickBot="1" x14ac:dyDescent="0.3">
      <c r="B61" s="1"/>
      <c r="C61" s="75"/>
      <c r="D61" s="5"/>
      <c r="E61" s="5"/>
      <c r="F61" s="5"/>
      <c r="G61" s="5"/>
      <c r="H61" s="5"/>
      <c r="I61" s="5"/>
      <c r="J61" s="5"/>
      <c r="K61" s="5"/>
    </row>
    <row r="62" spans="2:11" ht="15.75" thickBot="1" x14ac:dyDescent="0.3">
      <c r="B62" s="1426" t="s">
        <v>935</v>
      </c>
      <c r="C62" s="1427"/>
      <c r="D62" s="1427"/>
      <c r="E62" s="1427"/>
      <c r="F62" s="1428"/>
      <c r="G62" s="5"/>
      <c r="H62" s="5"/>
      <c r="I62" s="5"/>
      <c r="J62" s="5"/>
      <c r="K62" s="5"/>
    </row>
    <row r="63" spans="2:11" ht="24.75" thickBot="1" x14ac:dyDescent="0.3">
      <c r="B63" s="46" t="s">
        <v>936</v>
      </c>
      <c r="C63" s="40" t="s">
        <v>937</v>
      </c>
      <c r="D63" s="40" t="s">
        <v>938</v>
      </c>
      <c r="E63" s="40" t="s">
        <v>939</v>
      </c>
      <c r="F63" s="5"/>
      <c r="G63" s="5"/>
      <c r="H63" s="5"/>
      <c r="I63" s="5"/>
      <c r="J63" s="5"/>
    </row>
    <row r="64" spans="2:11" ht="96.75" thickBot="1" x14ac:dyDescent="0.3">
      <c r="B64" s="48">
        <v>42401</v>
      </c>
      <c r="C64" s="40">
        <v>0.01</v>
      </c>
      <c r="D64" s="67" t="s">
        <v>1127</v>
      </c>
      <c r="E64" s="40"/>
      <c r="F64" s="5"/>
      <c r="G64" s="5"/>
      <c r="H64" s="5"/>
      <c r="I64" s="5"/>
      <c r="J64" s="5"/>
    </row>
    <row r="65" spans="2:11" ht="15.75" thickBot="1" x14ac:dyDescent="0.3">
      <c r="B65" s="1"/>
      <c r="C65" s="75"/>
      <c r="D65" s="5"/>
      <c r="E65" s="5"/>
      <c r="F65" s="5"/>
      <c r="G65" s="5"/>
      <c r="H65" s="5"/>
      <c r="I65" s="5"/>
      <c r="J65" s="5"/>
      <c r="K65" s="5"/>
    </row>
    <row r="66" spans="2:11" ht="15.75" thickBot="1" x14ac:dyDescent="0.3">
      <c r="B66" s="4" t="s">
        <v>846</v>
      </c>
      <c r="C66" s="95"/>
      <c r="D66" s="5"/>
      <c r="E66" s="5"/>
      <c r="F66" s="5"/>
      <c r="G66" s="5"/>
      <c r="H66" s="5"/>
      <c r="I66" s="5"/>
      <c r="J66" s="5"/>
      <c r="K66" s="5"/>
    </row>
    <row r="67" spans="2:11" x14ac:dyDescent="0.25">
      <c r="B67" s="1471"/>
      <c r="C67" s="1472"/>
      <c r="D67" s="1472"/>
      <c r="E67" s="1472"/>
      <c r="F67" s="1472"/>
      <c r="G67" s="1472"/>
      <c r="H67" s="1472"/>
      <c r="I67" s="1472"/>
      <c r="J67" s="1472"/>
      <c r="K67" s="5"/>
    </row>
    <row r="68" spans="2:11" ht="15.75" thickBot="1" x14ac:dyDescent="0.3">
      <c r="B68" s="1471"/>
      <c r="C68" s="1472"/>
      <c r="D68" s="1472"/>
      <c r="E68" s="1472"/>
      <c r="F68" s="1472"/>
      <c r="G68" s="1472"/>
      <c r="H68" s="1472"/>
      <c r="I68" s="1472"/>
      <c r="J68" s="1472"/>
      <c r="K68" s="5"/>
    </row>
    <row r="69" spans="2:11" ht="15.75" thickBot="1" x14ac:dyDescent="0.3">
      <c r="B69" s="1426" t="s">
        <v>941</v>
      </c>
      <c r="C69" s="1427"/>
      <c r="D69" s="1428"/>
      <c r="E69" s="5"/>
      <c r="F69" s="5"/>
      <c r="G69" s="5"/>
      <c r="H69" s="5"/>
      <c r="I69" s="5"/>
      <c r="J69" s="5"/>
      <c r="K69" s="5"/>
    </row>
    <row r="70" spans="2:11" ht="120.75" thickBot="1" x14ac:dyDescent="0.3">
      <c r="B70" s="46" t="s">
        <v>942</v>
      </c>
      <c r="C70" s="2"/>
      <c r="D70" s="40" t="s">
        <v>1128</v>
      </c>
      <c r="E70" s="5"/>
      <c r="F70" s="5"/>
      <c r="G70" s="5"/>
      <c r="H70" s="5"/>
      <c r="I70" s="5"/>
      <c r="J70" s="5"/>
      <c r="K70" s="5"/>
    </row>
    <row r="71" spans="2:11" x14ac:dyDescent="0.25">
      <c r="B71" s="1423" t="s">
        <v>944</v>
      </c>
      <c r="C71" s="93"/>
      <c r="D71" s="52" t="s">
        <v>945</v>
      </c>
      <c r="E71" s="5"/>
      <c r="F71" s="5"/>
      <c r="G71" s="5"/>
      <c r="H71" s="5"/>
      <c r="I71" s="5"/>
      <c r="J71" s="5"/>
      <c r="K71" s="5"/>
    </row>
    <row r="72" spans="2:11" ht="72" x14ac:dyDescent="0.25">
      <c r="B72" s="1424"/>
      <c r="C72" s="93"/>
      <c r="D72" s="45" t="s">
        <v>1129</v>
      </c>
      <c r="E72" s="5"/>
      <c r="F72" s="5"/>
      <c r="G72" s="5"/>
      <c r="H72" s="5"/>
      <c r="I72" s="5"/>
      <c r="J72" s="5"/>
      <c r="K72" s="5"/>
    </row>
    <row r="73" spans="2:11" ht="48" x14ac:dyDescent="0.25">
      <c r="B73" s="1424"/>
      <c r="C73" s="93"/>
      <c r="D73" s="45" t="s">
        <v>1130</v>
      </c>
      <c r="E73" s="5"/>
      <c r="F73" s="5"/>
      <c r="G73" s="5"/>
      <c r="H73" s="5"/>
      <c r="I73" s="5"/>
      <c r="J73" s="5"/>
      <c r="K73" s="5"/>
    </row>
    <row r="74" spans="2:11" x14ac:dyDescent="0.25">
      <c r="B74" s="1424"/>
      <c r="C74" s="93"/>
      <c r="D74" s="52" t="s">
        <v>1131</v>
      </c>
      <c r="E74" s="5"/>
      <c r="F74" s="5"/>
      <c r="G74" s="5"/>
      <c r="H74" s="5"/>
      <c r="I74" s="5"/>
      <c r="J74" s="5"/>
      <c r="K74" s="5"/>
    </row>
    <row r="75" spans="2:11" x14ac:dyDescent="0.25">
      <c r="B75" s="1424"/>
      <c r="C75" s="93"/>
      <c r="D75" s="45" t="s">
        <v>949</v>
      </c>
      <c r="E75" s="5"/>
      <c r="F75" s="5"/>
      <c r="G75" s="5"/>
      <c r="H75" s="5"/>
      <c r="I75" s="5"/>
      <c r="J75" s="5"/>
      <c r="K75" s="5"/>
    </row>
    <row r="76" spans="2:11" x14ac:dyDescent="0.25">
      <c r="B76" s="1424"/>
      <c r="C76" s="93"/>
      <c r="D76" s="45" t="s">
        <v>1052</v>
      </c>
      <c r="E76" s="5"/>
      <c r="F76" s="5"/>
      <c r="G76" s="5"/>
      <c r="H76" s="5"/>
      <c r="I76" s="5"/>
      <c r="J76" s="5"/>
      <c r="K76" s="5"/>
    </row>
    <row r="77" spans="2:11" ht="15.75" thickBot="1" x14ac:dyDescent="0.3">
      <c r="B77" s="1425"/>
      <c r="C77" s="2"/>
      <c r="D77" s="40" t="s">
        <v>1132</v>
      </c>
      <c r="E77" s="5"/>
      <c r="F77" s="5"/>
      <c r="G77" s="5"/>
      <c r="H77" s="5"/>
      <c r="I77" s="5"/>
      <c r="J77" s="5"/>
      <c r="K77" s="5"/>
    </row>
    <row r="78" spans="2:11" ht="24.75" thickBot="1" x14ac:dyDescent="0.3">
      <c r="B78" s="46" t="s">
        <v>957</v>
      </c>
      <c r="C78" s="2"/>
      <c r="D78" s="40"/>
      <c r="E78" s="5"/>
      <c r="F78" s="5"/>
      <c r="G78" s="5"/>
      <c r="H78" s="5"/>
      <c r="I78" s="5"/>
      <c r="J78" s="5"/>
      <c r="K78" s="5"/>
    </row>
    <row r="79" spans="2:11" ht="156" x14ac:dyDescent="0.25">
      <c r="B79" s="1423" t="s">
        <v>958</v>
      </c>
      <c r="C79" s="93"/>
      <c r="D79" s="45" t="s">
        <v>1133</v>
      </c>
      <c r="E79" s="5"/>
      <c r="F79" s="5"/>
      <c r="G79" s="5"/>
      <c r="H79" s="5"/>
      <c r="I79" s="5"/>
      <c r="J79" s="5"/>
      <c r="K79" s="5"/>
    </row>
    <row r="80" spans="2:11" ht="132.75" thickBot="1" x14ac:dyDescent="0.3">
      <c r="B80" s="1425"/>
      <c r="C80" s="2"/>
      <c r="D80" s="40" t="s">
        <v>1134</v>
      </c>
      <c r="E80" s="5"/>
      <c r="F80" s="5"/>
      <c r="G80" s="5"/>
      <c r="H80" s="5"/>
      <c r="I80" s="5"/>
      <c r="J80" s="5"/>
      <c r="K80" s="5"/>
    </row>
    <row r="81" spans="2:11" ht="29.45" customHeight="1" x14ac:dyDescent="0.25">
      <c r="B81" s="1423" t="s">
        <v>975</v>
      </c>
      <c r="C81" s="93"/>
      <c r="D81" s="45" t="s">
        <v>976</v>
      </c>
      <c r="E81" s="5"/>
      <c r="F81" s="5"/>
      <c r="G81" s="5"/>
      <c r="H81" s="5"/>
      <c r="I81" s="5"/>
      <c r="J81" s="5"/>
      <c r="K81" s="5"/>
    </row>
    <row r="82" spans="2:11" ht="73.5" x14ac:dyDescent="0.25">
      <c r="B82" s="1424"/>
      <c r="C82" s="93"/>
      <c r="D82" s="45" t="s">
        <v>1135</v>
      </c>
      <c r="E82" s="5"/>
      <c r="F82" s="5"/>
      <c r="G82" s="5"/>
      <c r="H82" s="5"/>
      <c r="I82" s="5"/>
      <c r="J82" s="5"/>
      <c r="K82" s="5"/>
    </row>
    <row r="83" spans="2:11" ht="37.5" x14ac:dyDescent="0.25">
      <c r="B83" s="1424"/>
      <c r="C83" s="93"/>
      <c r="D83" s="45" t="s">
        <v>1136</v>
      </c>
      <c r="E83" s="5"/>
      <c r="F83" s="5"/>
      <c r="G83" s="5"/>
      <c r="H83" s="5"/>
      <c r="I83" s="5"/>
      <c r="J83" s="5"/>
      <c r="K83" s="5"/>
    </row>
    <row r="84" spans="2:11" ht="37.5" x14ac:dyDescent="0.25">
      <c r="B84" s="1424"/>
      <c r="C84" s="93"/>
      <c r="D84" s="45" t="s">
        <v>1137</v>
      </c>
      <c r="E84" s="5"/>
      <c r="F84" s="5"/>
      <c r="G84" s="5"/>
      <c r="H84" s="5"/>
      <c r="I84" s="5"/>
      <c r="J84" s="5"/>
      <c r="K84" s="5"/>
    </row>
    <row r="85" spans="2:11" ht="37.5" x14ac:dyDescent="0.25">
      <c r="B85" s="1424"/>
      <c r="C85" s="93"/>
      <c r="D85" s="45" t="s">
        <v>1138</v>
      </c>
      <c r="E85" s="5"/>
      <c r="F85" s="5"/>
      <c r="G85" s="5"/>
      <c r="H85" s="5"/>
      <c r="I85" s="5"/>
      <c r="J85" s="5"/>
      <c r="K85" s="5"/>
    </row>
    <row r="86" spans="2:11" x14ac:dyDescent="0.25">
      <c r="B86" s="1424"/>
      <c r="C86" s="93"/>
      <c r="D86" s="45" t="s">
        <v>1139</v>
      </c>
      <c r="E86" s="5"/>
      <c r="F86" s="5"/>
      <c r="G86" s="5"/>
      <c r="H86" s="5"/>
      <c r="I86" s="5"/>
      <c r="J86" s="5"/>
      <c r="K86" s="5"/>
    </row>
    <row r="87" spans="2:11" x14ac:dyDescent="0.25">
      <c r="B87" s="1424"/>
      <c r="C87" s="93"/>
      <c r="D87" s="45" t="s">
        <v>1140</v>
      </c>
      <c r="E87" s="5"/>
      <c r="F87" s="5"/>
      <c r="G87" s="5"/>
      <c r="H87" s="5"/>
      <c r="I87" s="5"/>
      <c r="J87" s="5"/>
      <c r="K87" s="5"/>
    </row>
    <row r="88" spans="2:11" x14ac:dyDescent="0.25">
      <c r="B88" s="1424"/>
      <c r="C88" s="93"/>
      <c r="D88" s="45" t="s">
        <v>1141</v>
      </c>
      <c r="E88" s="5"/>
      <c r="F88" s="5"/>
      <c r="G88" s="5"/>
      <c r="H88" s="5"/>
      <c r="I88" s="5"/>
      <c r="J88" s="5"/>
      <c r="K88" s="5"/>
    </row>
    <row r="89" spans="2:11" x14ac:dyDescent="0.25">
      <c r="B89" s="1424"/>
      <c r="C89" s="93"/>
      <c r="D89" s="45" t="s">
        <v>984</v>
      </c>
      <c r="E89" s="5"/>
      <c r="F89" s="5"/>
      <c r="G89" s="5"/>
      <c r="H89" s="5"/>
      <c r="I89" s="5"/>
      <c r="J89" s="5"/>
      <c r="K89" s="5"/>
    </row>
    <row r="90" spans="2:11" ht="84" x14ac:dyDescent="0.25">
      <c r="B90" s="1424"/>
      <c r="C90" s="93"/>
      <c r="D90" s="53" t="s">
        <v>1142</v>
      </c>
      <c r="E90" s="5"/>
      <c r="F90" s="5"/>
      <c r="G90" s="5"/>
      <c r="H90" s="5"/>
      <c r="I90" s="5"/>
      <c r="J90" s="5"/>
      <c r="K90" s="5"/>
    </row>
    <row r="91" spans="2:11" ht="24" x14ac:dyDescent="0.25">
      <c r="B91" s="1424"/>
      <c r="C91" s="93"/>
      <c r="D91" s="52" t="s">
        <v>1143</v>
      </c>
      <c r="E91" s="5"/>
      <c r="F91" s="5"/>
      <c r="G91" s="5"/>
      <c r="H91" s="5"/>
      <c r="I91" s="5"/>
      <c r="J91" s="5"/>
      <c r="K91" s="5"/>
    </row>
    <row r="92" spans="2:11" x14ac:dyDescent="0.25">
      <c r="B92" s="1424"/>
      <c r="C92" s="93"/>
      <c r="D92" s="16"/>
      <c r="E92" s="5"/>
      <c r="F92" s="5"/>
      <c r="G92" s="5"/>
      <c r="H92" s="5"/>
      <c r="I92" s="5"/>
      <c r="J92" s="5"/>
      <c r="K92" s="5"/>
    </row>
    <row r="93" spans="2:11" x14ac:dyDescent="0.25">
      <c r="B93" s="1424"/>
      <c r="C93" s="93"/>
      <c r="D93" s="45" t="s">
        <v>976</v>
      </c>
      <c r="E93" s="5"/>
      <c r="F93" s="5"/>
      <c r="G93" s="5"/>
      <c r="H93" s="5"/>
      <c r="I93" s="5"/>
      <c r="J93" s="5"/>
      <c r="K93" s="5"/>
    </row>
    <row r="94" spans="2:11" ht="37.5" x14ac:dyDescent="0.25">
      <c r="B94" s="1424"/>
      <c r="C94" s="93"/>
      <c r="D94" s="45" t="s">
        <v>1136</v>
      </c>
      <c r="E94" s="5"/>
      <c r="F94" s="5"/>
      <c r="G94" s="5"/>
      <c r="H94" s="5"/>
      <c r="I94" s="5"/>
      <c r="J94" s="5"/>
      <c r="K94" s="5"/>
    </row>
    <row r="95" spans="2:11" ht="25.5" x14ac:dyDescent="0.25">
      <c r="B95" s="1424"/>
      <c r="C95" s="93"/>
      <c r="D95" s="45" t="s">
        <v>1144</v>
      </c>
      <c r="E95" s="5"/>
      <c r="F95" s="5"/>
      <c r="G95" s="5"/>
      <c r="H95" s="5"/>
      <c r="I95" s="5"/>
      <c r="J95" s="5"/>
      <c r="K95" s="5"/>
    </row>
    <row r="96" spans="2:11" x14ac:dyDescent="0.25">
      <c r="B96" s="1424"/>
      <c r="C96" s="93"/>
      <c r="D96" s="45" t="s">
        <v>1145</v>
      </c>
      <c r="E96" s="5"/>
      <c r="F96" s="5"/>
      <c r="G96" s="5"/>
      <c r="H96" s="5"/>
      <c r="I96" s="5"/>
      <c r="J96" s="5"/>
      <c r="K96" s="5"/>
    </row>
    <row r="97" spans="2:11" x14ac:dyDescent="0.25">
      <c r="B97" s="1424"/>
      <c r="C97" s="93"/>
      <c r="D97" s="52" t="s">
        <v>1146</v>
      </c>
      <c r="E97" s="5"/>
      <c r="F97" s="5"/>
      <c r="G97" s="5"/>
      <c r="H97" s="5"/>
      <c r="I97" s="5"/>
      <c r="J97" s="5"/>
      <c r="K97" s="5"/>
    </row>
    <row r="98" spans="2:11" x14ac:dyDescent="0.25">
      <c r="B98" s="1424"/>
      <c r="C98" s="93"/>
      <c r="D98" s="16"/>
      <c r="E98" s="5"/>
      <c r="F98" s="5"/>
      <c r="G98" s="5"/>
      <c r="H98" s="5"/>
      <c r="I98" s="5"/>
      <c r="J98" s="5"/>
      <c r="K98" s="5"/>
    </row>
    <row r="99" spans="2:11" x14ac:dyDescent="0.25">
      <c r="B99" s="1424"/>
      <c r="C99" s="93"/>
      <c r="D99" s="45" t="s">
        <v>976</v>
      </c>
      <c r="E99" s="5"/>
      <c r="F99" s="5"/>
      <c r="G99" s="5"/>
      <c r="H99" s="5"/>
      <c r="I99" s="5"/>
      <c r="J99" s="5"/>
      <c r="K99" s="5"/>
    </row>
    <row r="100" spans="2:11" ht="37.5" x14ac:dyDescent="0.25">
      <c r="B100" s="1424"/>
      <c r="C100" s="93"/>
      <c r="D100" s="45" t="s">
        <v>1137</v>
      </c>
      <c r="E100" s="5"/>
      <c r="F100" s="5"/>
      <c r="G100" s="5"/>
      <c r="H100" s="5"/>
      <c r="I100" s="5"/>
      <c r="J100" s="5"/>
      <c r="K100" s="5"/>
    </row>
    <row r="101" spans="2:11" ht="25.5" x14ac:dyDescent="0.25">
      <c r="B101" s="1424"/>
      <c r="C101" s="93"/>
      <c r="D101" s="45" t="s">
        <v>1147</v>
      </c>
      <c r="E101" s="5"/>
      <c r="F101" s="5"/>
      <c r="G101" s="5"/>
      <c r="H101" s="5"/>
      <c r="I101" s="5"/>
      <c r="J101" s="5"/>
      <c r="K101" s="5"/>
    </row>
    <row r="102" spans="2:11" x14ac:dyDescent="0.25">
      <c r="B102" s="1424"/>
      <c r="C102" s="93"/>
      <c r="D102" s="45" t="s">
        <v>1148</v>
      </c>
      <c r="E102" s="5"/>
      <c r="F102" s="5"/>
      <c r="G102" s="5"/>
      <c r="H102" s="5"/>
      <c r="I102" s="5"/>
      <c r="J102" s="5"/>
      <c r="K102" s="5"/>
    </row>
    <row r="103" spans="2:11" x14ac:dyDescent="0.25">
      <c r="B103" s="1424"/>
      <c r="C103" s="93"/>
      <c r="D103" s="52" t="s">
        <v>1149</v>
      </c>
      <c r="E103" s="5"/>
      <c r="F103" s="5"/>
      <c r="G103" s="5"/>
      <c r="H103" s="5"/>
      <c r="I103" s="5"/>
      <c r="J103" s="5"/>
      <c r="K103" s="5"/>
    </row>
    <row r="104" spans="2:11" x14ac:dyDescent="0.25">
      <c r="B104" s="1424"/>
      <c r="C104" s="93"/>
      <c r="D104" s="16"/>
      <c r="E104" s="5"/>
      <c r="F104" s="5"/>
      <c r="G104" s="5"/>
      <c r="H104" s="5"/>
      <c r="I104" s="5"/>
      <c r="J104" s="5"/>
      <c r="K104" s="5"/>
    </row>
    <row r="105" spans="2:11" x14ac:dyDescent="0.25">
      <c r="B105" s="1424"/>
      <c r="C105" s="93"/>
      <c r="D105" s="45" t="s">
        <v>976</v>
      </c>
      <c r="E105" s="5"/>
      <c r="F105" s="5"/>
      <c r="G105" s="5"/>
      <c r="H105" s="5"/>
      <c r="I105" s="5"/>
      <c r="J105" s="5"/>
      <c r="K105" s="5"/>
    </row>
    <row r="106" spans="2:11" ht="37.5" x14ac:dyDescent="0.25">
      <c r="B106" s="1424"/>
      <c r="C106" s="93"/>
      <c r="D106" s="45" t="s">
        <v>1150</v>
      </c>
      <c r="E106" s="5"/>
      <c r="F106" s="5"/>
      <c r="G106" s="5"/>
      <c r="H106" s="5"/>
      <c r="I106" s="5"/>
      <c r="J106" s="5"/>
      <c r="K106" s="5"/>
    </row>
    <row r="107" spans="2:11" ht="25.5" x14ac:dyDescent="0.25">
      <c r="B107" s="1424"/>
      <c r="C107" s="93"/>
      <c r="D107" s="45" t="s">
        <v>1151</v>
      </c>
      <c r="E107" s="5"/>
      <c r="F107" s="5"/>
      <c r="G107" s="5"/>
      <c r="H107" s="5"/>
      <c r="I107" s="5"/>
      <c r="J107" s="5"/>
      <c r="K107" s="5"/>
    </row>
    <row r="108" spans="2:11" x14ac:dyDescent="0.25">
      <c r="B108" s="1424"/>
      <c r="C108" s="93"/>
      <c r="D108" s="45" t="s">
        <v>1152</v>
      </c>
      <c r="E108" s="5"/>
      <c r="F108" s="5"/>
      <c r="G108" s="5"/>
      <c r="H108" s="5"/>
      <c r="I108" s="5"/>
      <c r="J108" s="5"/>
      <c r="K108" s="5"/>
    </row>
    <row r="109" spans="2:11" x14ac:dyDescent="0.25">
      <c r="B109" s="1424"/>
      <c r="C109" s="93"/>
      <c r="D109" s="52" t="s">
        <v>1116</v>
      </c>
      <c r="E109" s="5"/>
      <c r="F109" s="5"/>
      <c r="G109" s="5"/>
      <c r="H109" s="5"/>
      <c r="I109" s="5"/>
      <c r="J109" s="5"/>
      <c r="K109" s="5"/>
    </row>
    <row r="110" spans="2:11" ht="36" x14ac:dyDescent="0.25">
      <c r="B110" s="1424"/>
      <c r="C110" s="93"/>
      <c r="D110" s="52" t="s">
        <v>1117</v>
      </c>
      <c r="E110" s="5"/>
      <c r="F110" s="5"/>
      <c r="G110" s="5"/>
      <c r="H110" s="5"/>
      <c r="I110" s="5"/>
      <c r="J110" s="5"/>
      <c r="K110" s="5"/>
    </row>
    <row r="111" spans="2:11" x14ac:dyDescent="0.25">
      <c r="B111" s="1424"/>
      <c r="C111" s="93"/>
      <c r="D111" s="45" t="s">
        <v>1153</v>
      </c>
      <c r="E111" s="5"/>
      <c r="F111" s="5"/>
      <c r="G111" s="5"/>
      <c r="H111" s="5"/>
      <c r="I111" s="5"/>
      <c r="J111" s="5"/>
      <c r="K111" s="5"/>
    </row>
    <row r="112" spans="2:11" x14ac:dyDescent="0.25">
      <c r="B112" s="1424"/>
      <c r="C112" s="93"/>
      <c r="D112" s="45" t="s">
        <v>976</v>
      </c>
      <c r="E112" s="5"/>
      <c r="F112" s="5"/>
      <c r="G112" s="5"/>
      <c r="H112" s="5"/>
      <c r="I112" s="5"/>
      <c r="J112" s="5"/>
      <c r="K112" s="5"/>
    </row>
    <row r="113" spans="2:11" ht="49.5" x14ac:dyDescent="0.25">
      <c r="B113" s="1424"/>
      <c r="C113" s="93"/>
      <c r="D113" s="45" t="s">
        <v>1154</v>
      </c>
      <c r="E113" s="5"/>
      <c r="F113" s="5"/>
      <c r="G113" s="5"/>
      <c r="H113" s="5"/>
      <c r="I113" s="5"/>
      <c r="J113" s="5"/>
      <c r="K113" s="5"/>
    </row>
    <row r="114" spans="2:11" ht="49.5" x14ac:dyDescent="0.25">
      <c r="B114" s="1424"/>
      <c r="C114" s="93"/>
      <c r="D114" s="45" t="s">
        <v>1155</v>
      </c>
      <c r="E114" s="5"/>
      <c r="F114" s="5"/>
      <c r="G114" s="5"/>
      <c r="H114" s="5"/>
      <c r="I114" s="5"/>
      <c r="J114" s="5"/>
      <c r="K114" s="5"/>
    </row>
    <row r="115" spans="2:11" ht="50.25" thickBot="1" x14ac:dyDescent="0.3">
      <c r="B115" s="1425"/>
      <c r="C115" s="2"/>
      <c r="D115" s="40" t="s">
        <v>1156</v>
      </c>
      <c r="E115" s="5"/>
      <c r="F115" s="5"/>
      <c r="G115" s="5"/>
      <c r="H115" s="5"/>
      <c r="I115" s="5"/>
      <c r="J115" s="5"/>
      <c r="K115" s="5"/>
    </row>
  </sheetData>
  <sheetProtection insertRows="0"/>
  <mergeCells count="27">
    <mergeCell ref="A1:K1"/>
    <mergeCell ref="A2:K2"/>
    <mergeCell ref="A3:K3"/>
    <mergeCell ref="A5:K5"/>
    <mergeCell ref="A4:D4"/>
    <mergeCell ref="D30:K30"/>
    <mergeCell ref="D41:K41"/>
    <mergeCell ref="D42:K42"/>
    <mergeCell ref="B44:E44"/>
    <mergeCell ref="E12:K12"/>
    <mergeCell ref="E13:K13"/>
    <mergeCell ref="B81:B115"/>
    <mergeCell ref="B54:B60"/>
    <mergeCell ref="B62:F62"/>
    <mergeCell ref="B10:D10"/>
    <mergeCell ref="D40:K40"/>
    <mergeCell ref="B15:B26"/>
    <mergeCell ref="B69:D69"/>
    <mergeCell ref="B71:B77"/>
    <mergeCell ref="B79:B80"/>
    <mergeCell ref="D15:K15"/>
    <mergeCell ref="D16:K16"/>
    <mergeCell ref="D28:K28"/>
    <mergeCell ref="B67:J68"/>
    <mergeCell ref="B45:B51"/>
    <mergeCell ref="B53:E53"/>
    <mergeCell ref="D29:K29"/>
  </mergeCells>
  <conditionalFormatting sqref="F10">
    <cfRule type="notContainsBlanks" dxfId="108" priority="4">
      <formula>LEN(TRIM(F10))&gt;0</formula>
    </cfRule>
  </conditionalFormatting>
  <conditionalFormatting sqref="F11:K11 S11">
    <cfRule type="expression" dxfId="107" priority="2">
      <formula>E11="NO SE REPORTA"</formula>
    </cfRule>
    <cfRule type="expression" dxfId="106" priority="3">
      <formula>E10="NO APLICA"</formula>
    </cfRule>
  </conditionalFormatting>
  <conditionalFormatting sqref="E12">
    <cfRule type="expression" dxfId="105"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23">
      <formula1>0</formula1>
    </dataValidation>
    <dataValidation type="whole" operator="greaterThanOrEqual" allowBlank="1" showInputMessage="1" showErrorMessage="1" errorTitle="ERROR" error="Valor en PESOS (sin centavos)" sqref="F32:I38">
      <formula1>0</formula1>
    </dataValidation>
    <dataValidation type="textLength" allowBlank="1" showInputMessage="1" showErrorMessage="1" errorTitle="ERROR" error="Escriba POMCA, PMM o PMA" promptTitle="ESCRIBA" prompt="POMCA, PMA o PMM" sqref="E32">
      <formula1>1</formula1>
      <formula2>5</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U82"/>
  <sheetViews>
    <sheetView showGridLines="0" zoomScale="98" zoomScaleNormal="98" workbookViewId="0">
      <selection activeCell="D23" sqref="D2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93</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INFORMACION",+F19))</f>
        <v>1</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6" customHeight="1" thickTop="1" thickBot="1" x14ac:dyDescent="0.3">
      <c r="B15" s="1478" t="s">
        <v>888</v>
      </c>
      <c r="C15" s="88"/>
      <c r="D15" s="1435" t="s">
        <v>889</v>
      </c>
      <c r="E15" s="1436"/>
      <c r="F15" s="1436"/>
      <c r="G15" s="1436"/>
      <c r="H15" s="1436"/>
      <c r="I15" s="1437"/>
      <c r="J15" s="5"/>
      <c r="K15" s="5"/>
    </row>
    <row r="16" spans="1:21" ht="15.75" thickBot="1" x14ac:dyDescent="0.3">
      <c r="B16" s="1403"/>
      <c r="C16" s="93"/>
      <c r="D16" s="43" t="s">
        <v>1015</v>
      </c>
      <c r="E16" s="38" t="s">
        <v>909</v>
      </c>
      <c r="F16" s="38" t="s">
        <v>910</v>
      </c>
      <c r="G16" s="38" t="s">
        <v>911</v>
      </c>
      <c r="H16" s="38" t="s">
        <v>912</v>
      </c>
      <c r="I16" s="254"/>
      <c r="J16" s="5"/>
      <c r="K16" s="5"/>
    </row>
    <row r="17" spans="2:11" ht="60.75" thickBot="1" x14ac:dyDescent="0.3">
      <c r="B17" s="1403"/>
      <c r="C17" s="93"/>
      <c r="D17" s="255" t="s">
        <v>1157</v>
      </c>
      <c r="E17" s="205">
        <v>21</v>
      </c>
      <c r="F17" s="205">
        <v>21</v>
      </c>
      <c r="G17" s="205">
        <v>21</v>
      </c>
      <c r="H17" s="205"/>
      <c r="I17" s="252"/>
      <c r="J17" s="5"/>
      <c r="K17" s="5"/>
    </row>
    <row r="18" spans="2:11" ht="60.75" thickBot="1" x14ac:dyDescent="0.3">
      <c r="B18" s="1403"/>
      <c r="C18" s="93"/>
      <c r="D18" s="255" t="s">
        <v>1158</v>
      </c>
      <c r="E18" s="205">
        <v>21</v>
      </c>
      <c r="F18" s="590">
        <v>21</v>
      </c>
      <c r="G18" s="205">
        <v>21</v>
      </c>
      <c r="H18" s="205"/>
      <c r="I18" s="252"/>
      <c r="J18" s="5"/>
      <c r="K18" s="5"/>
    </row>
    <row r="19" spans="2:11" ht="60.75" thickBot="1" x14ac:dyDescent="0.3">
      <c r="B19" s="1403"/>
      <c r="C19" s="93"/>
      <c r="D19" s="255" t="s">
        <v>1159</v>
      </c>
      <c r="E19" s="185">
        <f>IFERROR(E18/E17,"N.A.")</f>
        <v>1</v>
      </c>
      <c r="F19" s="185">
        <f>IFERROR(F18/F17,"N.A.")</f>
        <v>1</v>
      </c>
      <c r="G19" s="185">
        <f>IFERROR(G18/G17,"N.A.")</f>
        <v>1</v>
      </c>
      <c r="H19" s="185" t="str">
        <f>IFERROR(H18/H17,"N.A.")</f>
        <v>N.A.</v>
      </c>
      <c r="I19" s="235"/>
      <c r="J19" s="5"/>
      <c r="K19" s="5"/>
    </row>
    <row r="20" spans="2:11" ht="15.75" thickBot="1" x14ac:dyDescent="0.3">
      <c r="B20" s="1403"/>
      <c r="C20" s="91"/>
      <c r="D20" s="1408" t="s">
        <v>1160</v>
      </c>
      <c r="E20" s="1409"/>
      <c r="F20" s="1409"/>
      <c r="G20" s="1409"/>
      <c r="H20" s="1409"/>
      <c r="I20" s="1410"/>
      <c r="J20" s="5"/>
      <c r="K20" s="5"/>
    </row>
    <row r="21" spans="2:11" ht="21" customHeight="1" x14ac:dyDescent="0.25">
      <c r="B21" s="216"/>
      <c r="C21" s="1485" t="s">
        <v>842</v>
      </c>
      <c r="D21" s="1487" t="s">
        <v>439</v>
      </c>
      <c r="E21" s="1489" t="s">
        <v>1161</v>
      </c>
      <c r="F21" s="1489" t="s">
        <v>1162</v>
      </c>
      <c r="G21" s="1489" t="s">
        <v>846</v>
      </c>
      <c r="I21" s="21"/>
      <c r="J21" s="5"/>
      <c r="K21" s="5"/>
    </row>
    <row r="22" spans="2:11" ht="15.75" thickBot="1" x14ac:dyDescent="0.3">
      <c r="B22" s="216"/>
      <c r="C22" s="1486"/>
      <c r="D22" s="1488"/>
      <c r="E22" s="1490"/>
      <c r="F22" s="1490"/>
      <c r="G22" s="1490"/>
      <c r="I22" s="21"/>
      <c r="J22" s="5"/>
      <c r="K22" s="5"/>
    </row>
    <row r="23" spans="2:11" s="188" customFormat="1" ht="48.75" thickBot="1" x14ac:dyDescent="0.3">
      <c r="B23" s="215"/>
      <c r="C23" s="8">
        <v>1</v>
      </c>
      <c r="D23" s="30" t="s">
        <v>2646</v>
      </c>
      <c r="E23" s="6">
        <v>21</v>
      </c>
      <c r="F23" s="29" t="s">
        <v>2645</v>
      </c>
      <c r="G23" s="29"/>
      <c r="I23" s="19"/>
      <c r="J23" s="18"/>
      <c r="K23" s="18"/>
    </row>
    <row r="24" spans="2:11" ht="36" customHeight="1" thickBot="1" x14ac:dyDescent="0.3">
      <c r="B24" s="46" t="s">
        <v>924</v>
      </c>
      <c r="C24" s="92"/>
      <c r="D24" s="1435" t="s">
        <v>1163</v>
      </c>
      <c r="E24" s="1436"/>
      <c r="F24" s="1436"/>
      <c r="G24" s="1436"/>
      <c r="H24" s="1436"/>
      <c r="I24" s="1437"/>
      <c r="J24" s="5"/>
      <c r="K24" s="5"/>
    </row>
    <row r="25" spans="2:11" ht="24.75" thickBot="1" x14ac:dyDescent="0.3">
      <c r="B25" s="46" t="s">
        <v>926</v>
      </c>
      <c r="C25" s="92"/>
      <c r="D25" s="1435" t="s">
        <v>1126</v>
      </c>
      <c r="E25" s="1436"/>
      <c r="F25" s="1436"/>
      <c r="G25" s="1436"/>
      <c r="H25" s="1436"/>
      <c r="I25" s="1437"/>
      <c r="J25" s="5"/>
      <c r="K25" s="5"/>
    </row>
    <row r="26" spans="2:11" ht="15.75" thickBot="1" x14ac:dyDescent="0.3">
      <c r="B26" s="1"/>
      <c r="C26" s="75"/>
      <c r="D26" s="5"/>
      <c r="E26" s="5"/>
      <c r="F26" s="5"/>
      <c r="G26" s="5"/>
      <c r="H26" s="5"/>
      <c r="I26" s="5"/>
      <c r="J26" s="5"/>
      <c r="K26" s="5"/>
    </row>
    <row r="27" spans="2:11" ht="24" customHeight="1" thickBot="1" x14ac:dyDescent="0.3">
      <c r="B27" s="1426" t="s">
        <v>928</v>
      </c>
      <c r="C27" s="1427"/>
      <c r="D27" s="1427"/>
      <c r="E27" s="1428"/>
      <c r="F27" s="5"/>
      <c r="G27" s="5"/>
      <c r="H27" s="5"/>
      <c r="I27" s="5"/>
      <c r="J27" s="5"/>
      <c r="K27" s="5"/>
    </row>
    <row r="28" spans="2:11" ht="15.75" thickBot="1" x14ac:dyDescent="0.3">
      <c r="B28" s="1423">
        <v>1</v>
      </c>
      <c r="C28" s="93"/>
      <c r="D28" s="47" t="s">
        <v>929</v>
      </c>
      <c r="E28" s="30" t="s">
        <v>2093</v>
      </c>
      <c r="F28" s="5"/>
      <c r="G28" s="5"/>
      <c r="H28" s="5"/>
      <c r="I28" s="5"/>
      <c r="J28" s="5"/>
      <c r="K28" s="5"/>
    </row>
    <row r="29" spans="2:11" ht="15.75" thickBot="1" x14ac:dyDescent="0.3">
      <c r="B29" s="1424"/>
      <c r="C29" s="93"/>
      <c r="D29" s="40" t="s">
        <v>7</v>
      </c>
      <c r="E29" s="30" t="s">
        <v>2102</v>
      </c>
      <c r="F29" s="5"/>
      <c r="G29" s="5"/>
      <c r="H29" s="5"/>
      <c r="I29" s="5"/>
      <c r="J29" s="5"/>
      <c r="K29" s="5"/>
    </row>
    <row r="30" spans="2:11" ht="15.75" thickBot="1" x14ac:dyDescent="0.3">
      <c r="B30" s="1424"/>
      <c r="C30" s="93"/>
      <c r="D30" s="40" t="s">
        <v>930</v>
      </c>
      <c r="E30" s="30" t="s">
        <v>2103</v>
      </c>
      <c r="F30" s="5"/>
      <c r="G30" s="5"/>
      <c r="H30" s="5"/>
      <c r="I30" s="5"/>
      <c r="J30" s="5"/>
      <c r="K30" s="5"/>
    </row>
    <row r="31" spans="2:11" ht="15.75" thickBot="1" x14ac:dyDescent="0.3">
      <c r="B31" s="1424"/>
      <c r="C31" s="93"/>
      <c r="D31" s="40" t="s">
        <v>9</v>
      </c>
      <c r="E31" s="30" t="s">
        <v>2095</v>
      </c>
      <c r="F31" s="5"/>
      <c r="G31" s="5"/>
      <c r="H31" s="5"/>
      <c r="I31" s="5"/>
      <c r="J31" s="5"/>
      <c r="K31" s="5"/>
    </row>
    <row r="32" spans="2:11" ht="15.75" thickBot="1" x14ac:dyDescent="0.3">
      <c r="B32" s="1424"/>
      <c r="C32" s="93"/>
      <c r="D32" s="40" t="s">
        <v>11</v>
      </c>
      <c r="E32" s="30" t="s">
        <v>2096</v>
      </c>
      <c r="F32" s="5"/>
      <c r="G32" s="5"/>
      <c r="H32" s="5"/>
      <c r="I32" s="5"/>
      <c r="J32" s="5"/>
      <c r="K32" s="5"/>
    </row>
    <row r="33" spans="2:11" ht="15.75" thickBot="1" x14ac:dyDescent="0.3">
      <c r="B33" s="1424"/>
      <c r="C33" s="93"/>
      <c r="D33" s="40" t="s">
        <v>13</v>
      </c>
      <c r="E33" s="30">
        <v>6695278</v>
      </c>
      <c r="F33" s="5"/>
      <c r="G33" s="5"/>
      <c r="H33" s="5"/>
      <c r="I33" s="5"/>
      <c r="J33" s="5"/>
      <c r="K33" s="5"/>
    </row>
    <row r="34" spans="2:11" ht="15.75" thickBot="1" x14ac:dyDescent="0.3">
      <c r="B34" s="1425"/>
      <c r="C34" s="2"/>
      <c r="D34" s="40" t="s">
        <v>931</v>
      </c>
      <c r="E34" s="30" t="s">
        <v>2097</v>
      </c>
      <c r="F34" s="5"/>
      <c r="G34" s="5"/>
      <c r="H34" s="5"/>
      <c r="I34" s="5"/>
      <c r="J34" s="5"/>
      <c r="K34" s="5"/>
    </row>
    <row r="35" spans="2:11" ht="15.75" thickBot="1" x14ac:dyDescent="0.3">
      <c r="B35" s="1"/>
      <c r="C35" s="75"/>
      <c r="D35" s="5"/>
      <c r="E35" s="5"/>
      <c r="F35" s="5"/>
      <c r="G35" s="5"/>
      <c r="H35" s="5"/>
      <c r="I35" s="5"/>
      <c r="J35" s="5"/>
      <c r="K35" s="5"/>
    </row>
    <row r="36" spans="2:11" ht="15.75" thickBot="1" x14ac:dyDescent="0.3">
      <c r="B36" s="1426" t="s">
        <v>932</v>
      </c>
      <c r="C36" s="1427"/>
      <c r="D36" s="1427"/>
      <c r="E36" s="1428"/>
      <c r="F36" s="5"/>
      <c r="G36" s="5"/>
      <c r="H36" s="5"/>
      <c r="I36" s="5"/>
      <c r="J36" s="5"/>
      <c r="K36" s="5"/>
    </row>
    <row r="37" spans="2:11" ht="15.75" thickBot="1" x14ac:dyDescent="0.3">
      <c r="B37" s="1423">
        <v>1</v>
      </c>
      <c r="C37" s="93"/>
      <c r="D37" s="47" t="s">
        <v>929</v>
      </c>
      <c r="E37" s="217" t="s">
        <v>933</v>
      </c>
      <c r="F37" s="5"/>
      <c r="G37" s="5"/>
      <c r="H37" s="5"/>
      <c r="I37" s="5"/>
      <c r="J37" s="5"/>
      <c r="K37" s="5"/>
    </row>
    <row r="38" spans="2:11" ht="15.75" thickBot="1" x14ac:dyDescent="0.3">
      <c r="B38" s="1424"/>
      <c r="C38" s="93"/>
      <c r="D38" s="40" t="s">
        <v>7</v>
      </c>
      <c r="E38" s="217" t="s">
        <v>934</v>
      </c>
      <c r="F38" s="5"/>
      <c r="G38" s="5"/>
      <c r="H38" s="5"/>
      <c r="I38" s="5"/>
      <c r="J38" s="5"/>
      <c r="K38" s="5"/>
    </row>
    <row r="39" spans="2:11" ht="15.75" thickBot="1" x14ac:dyDescent="0.3">
      <c r="B39" s="1424"/>
      <c r="C39" s="93"/>
      <c r="D39" s="40" t="s">
        <v>930</v>
      </c>
      <c r="E39" s="237"/>
      <c r="F39" s="5"/>
      <c r="G39" s="5"/>
      <c r="H39" s="5"/>
      <c r="I39" s="5"/>
      <c r="J39" s="5"/>
      <c r="K39" s="5"/>
    </row>
    <row r="40" spans="2:11" ht="15.75" thickBot="1" x14ac:dyDescent="0.3">
      <c r="B40" s="1424"/>
      <c r="C40" s="93"/>
      <c r="D40" s="40" t="s">
        <v>9</v>
      </c>
      <c r="E40" s="237"/>
      <c r="F40" s="5"/>
      <c r="G40" s="5"/>
      <c r="H40" s="5"/>
      <c r="I40" s="5"/>
      <c r="J40" s="5"/>
      <c r="K40" s="5"/>
    </row>
    <row r="41" spans="2:11" ht="15.75" thickBot="1" x14ac:dyDescent="0.3">
      <c r="B41" s="1424"/>
      <c r="C41" s="93"/>
      <c r="D41" s="40" t="s">
        <v>11</v>
      </c>
      <c r="E41" s="237"/>
      <c r="F41" s="5"/>
      <c r="G41" s="5"/>
      <c r="H41" s="5"/>
      <c r="I41" s="5"/>
      <c r="J41" s="5"/>
      <c r="K41" s="5"/>
    </row>
    <row r="42" spans="2:11" ht="15.75" thickBot="1" x14ac:dyDescent="0.3">
      <c r="B42" s="1424"/>
      <c r="C42" s="93"/>
      <c r="D42" s="40" t="s">
        <v>13</v>
      </c>
      <c r="E42" s="237"/>
      <c r="F42" s="5"/>
      <c r="G42" s="5"/>
      <c r="H42" s="5"/>
      <c r="I42" s="5"/>
      <c r="J42" s="5"/>
      <c r="K42" s="5"/>
    </row>
    <row r="43" spans="2:11" ht="15.75" thickBot="1" x14ac:dyDescent="0.3">
      <c r="B43" s="1425"/>
      <c r="C43" s="2"/>
      <c r="D43" s="40" t="s">
        <v>931</v>
      </c>
      <c r="E43" s="237"/>
      <c r="F43" s="5"/>
      <c r="G43" s="5"/>
      <c r="H43" s="5"/>
      <c r="I43" s="5"/>
      <c r="J43" s="5"/>
      <c r="K43" s="5"/>
    </row>
    <row r="44" spans="2:11" ht="15.75" thickBot="1" x14ac:dyDescent="0.3">
      <c r="B44" s="1"/>
      <c r="C44" s="75"/>
      <c r="D44" s="5"/>
      <c r="E44" s="5"/>
      <c r="F44" s="5"/>
      <c r="G44" s="5"/>
      <c r="H44" s="5"/>
      <c r="I44" s="5"/>
      <c r="J44" s="5"/>
      <c r="K44" s="5"/>
    </row>
    <row r="45" spans="2:11" ht="15" customHeight="1" thickBot="1" x14ac:dyDescent="0.3">
      <c r="B45" s="118" t="s">
        <v>935</v>
      </c>
      <c r="C45" s="119"/>
      <c r="D45" s="119"/>
      <c r="E45" s="120"/>
      <c r="G45" s="5"/>
      <c r="H45" s="5"/>
      <c r="I45" s="5"/>
      <c r="J45" s="5"/>
      <c r="K45" s="5"/>
    </row>
    <row r="46" spans="2:11" ht="24.75" thickBot="1" x14ac:dyDescent="0.3">
      <c r="B46" s="46" t="s">
        <v>936</v>
      </c>
      <c r="C46" s="40" t="s">
        <v>937</v>
      </c>
      <c r="D46" s="40" t="s">
        <v>938</v>
      </c>
      <c r="E46" s="40" t="s">
        <v>939</v>
      </c>
      <c r="F46" s="5"/>
      <c r="G46" s="5"/>
      <c r="H46" s="5"/>
      <c r="I46" s="5"/>
      <c r="J46" s="5"/>
    </row>
    <row r="47" spans="2:11" ht="96.75" thickBot="1" x14ac:dyDescent="0.3">
      <c r="B47" s="48">
        <v>42401</v>
      </c>
      <c r="C47" s="40">
        <v>0.01</v>
      </c>
      <c r="D47" s="67" t="s">
        <v>1164</v>
      </c>
      <c r="E47" s="40"/>
      <c r="F47" s="5"/>
      <c r="G47" s="5"/>
      <c r="H47" s="5"/>
      <c r="I47" s="5"/>
      <c r="J47" s="5"/>
    </row>
    <row r="48" spans="2:11" ht="15.75" thickBot="1" x14ac:dyDescent="0.3">
      <c r="B48" s="3"/>
      <c r="C48" s="94"/>
      <c r="D48" s="5"/>
      <c r="E48" s="5"/>
      <c r="F48" s="5"/>
      <c r="G48" s="5"/>
      <c r="H48" s="5"/>
      <c r="I48" s="5"/>
      <c r="J48" s="5"/>
      <c r="K48" s="5"/>
    </row>
    <row r="49" spans="2:11" x14ac:dyDescent="0.25">
      <c r="B49" s="128" t="s">
        <v>846</v>
      </c>
      <c r="C49" s="95"/>
      <c r="D49" s="5"/>
      <c r="E49" s="5"/>
      <c r="F49" s="5"/>
      <c r="G49" s="5"/>
      <c r="H49" s="5"/>
      <c r="I49" s="5"/>
      <c r="J49" s="5"/>
      <c r="K49" s="5"/>
    </row>
    <row r="50" spans="2:11" x14ac:dyDescent="0.25">
      <c r="B50" s="1462"/>
      <c r="C50" s="1463"/>
      <c r="D50" s="1463"/>
      <c r="E50" s="1464"/>
      <c r="F50" s="5"/>
      <c r="G50" s="5"/>
      <c r="H50" s="5"/>
      <c r="I50" s="5"/>
      <c r="J50" s="5"/>
      <c r="K50" s="5"/>
    </row>
    <row r="51" spans="2:11" ht="15.75" thickBot="1" x14ac:dyDescent="0.3">
      <c r="B51" s="5"/>
      <c r="D51" s="5"/>
      <c r="E51" s="5"/>
      <c r="F51" s="5"/>
      <c r="G51" s="5"/>
      <c r="H51" s="5"/>
      <c r="I51" s="5"/>
      <c r="J51" s="5"/>
      <c r="K51" s="5"/>
    </row>
    <row r="52" spans="2:11" ht="15.75" thickBot="1" x14ac:dyDescent="0.3">
      <c r="B52" s="1426" t="s">
        <v>941</v>
      </c>
      <c r="C52" s="1427"/>
      <c r="D52" s="1428"/>
      <c r="E52" s="5"/>
      <c r="F52" s="5"/>
      <c r="G52" s="5"/>
      <c r="H52" s="5"/>
      <c r="I52" s="5"/>
      <c r="J52" s="5"/>
      <c r="K52" s="5"/>
    </row>
    <row r="53" spans="2:11" ht="120.75" thickBot="1" x14ac:dyDescent="0.3">
      <c r="B53" s="46" t="s">
        <v>942</v>
      </c>
      <c r="C53" s="2"/>
      <c r="D53" s="40" t="s">
        <v>1165</v>
      </c>
      <c r="E53" s="5"/>
      <c r="F53" s="5"/>
      <c r="G53" s="5"/>
      <c r="H53" s="5"/>
      <c r="I53" s="5"/>
      <c r="J53" s="5"/>
      <c r="K53" s="5"/>
    </row>
    <row r="54" spans="2:11" x14ac:dyDescent="0.25">
      <c r="B54" s="1423" t="s">
        <v>944</v>
      </c>
      <c r="C54" s="93"/>
      <c r="D54" s="52" t="s">
        <v>945</v>
      </c>
      <c r="E54" s="5"/>
      <c r="F54" s="5"/>
      <c r="G54" s="5"/>
      <c r="H54" s="5"/>
      <c r="I54" s="5"/>
      <c r="J54" s="5"/>
      <c r="K54" s="5"/>
    </row>
    <row r="55" spans="2:11" ht="96" x14ac:dyDescent="0.25">
      <c r="B55" s="1424"/>
      <c r="C55" s="93"/>
      <c r="D55" s="45" t="s">
        <v>1166</v>
      </c>
      <c r="E55" s="5"/>
      <c r="F55" s="5"/>
      <c r="G55" s="5"/>
      <c r="H55" s="5"/>
      <c r="I55" s="5"/>
      <c r="J55" s="5"/>
      <c r="K55" s="5"/>
    </row>
    <row r="56" spans="2:11" ht="60" x14ac:dyDescent="0.25">
      <c r="B56" s="1424"/>
      <c r="C56" s="93"/>
      <c r="D56" s="45" t="s">
        <v>1167</v>
      </c>
      <c r="E56" s="5"/>
      <c r="F56" s="5"/>
      <c r="G56" s="5"/>
      <c r="H56" s="5"/>
      <c r="I56" s="5"/>
      <c r="J56" s="5"/>
      <c r="K56" s="5"/>
    </row>
    <row r="57" spans="2:11" x14ac:dyDescent="0.25">
      <c r="B57" s="1424"/>
      <c r="C57" s="93"/>
      <c r="D57" s="52" t="s">
        <v>948</v>
      </c>
      <c r="E57" s="5"/>
      <c r="F57" s="5"/>
      <c r="G57" s="5"/>
      <c r="H57" s="5"/>
      <c r="I57" s="5"/>
      <c r="J57" s="5"/>
      <c r="K57" s="5"/>
    </row>
    <row r="58" spans="2:11" ht="24" x14ac:dyDescent="0.25">
      <c r="B58" s="1424"/>
      <c r="C58" s="93"/>
      <c r="D58" s="45" t="s">
        <v>1168</v>
      </c>
      <c r="E58" s="5"/>
      <c r="F58" s="5"/>
      <c r="G58" s="5"/>
      <c r="H58" s="5"/>
      <c r="I58" s="5"/>
      <c r="J58" s="5"/>
      <c r="K58" s="5"/>
    </row>
    <row r="59" spans="2:11" ht="48" x14ac:dyDescent="0.25">
      <c r="B59" s="1424"/>
      <c r="C59" s="93"/>
      <c r="D59" s="45" t="s">
        <v>1169</v>
      </c>
      <c r="E59" s="5"/>
      <c r="F59" s="5"/>
      <c r="G59" s="5"/>
      <c r="H59" s="5"/>
      <c r="I59" s="5"/>
      <c r="J59" s="5"/>
      <c r="K59" s="5"/>
    </row>
    <row r="60" spans="2:11" x14ac:dyDescent="0.25">
      <c r="B60" s="1424"/>
      <c r="C60" s="93"/>
      <c r="D60" s="45" t="s">
        <v>1170</v>
      </c>
      <c r="E60" s="5"/>
      <c r="F60" s="5"/>
      <c r="G60" s="5"/>
      <c r="H60" s="5"/>
      <c r="I60" s="5"/>
      <c r="J60" s="5"/>
      <c r="K60" s="5"/>
    </row>
    <row r="61" spans="2:11" ht="36" x14ac:dyDescent="0.25">
      <c r="B61" s="1424"/>
      <c r="C61" s="93"/>
      <c r="D61" s="45" t="s">
        <v>1171</v>
      </c>
      <c r="E61" s="5"/>
      <c r="F61" s="5"/>
      <c r="G61" s="5"/>
      <c r="H61" s="5"/>
      <c r="I61" s="5"/>
      <c r="J61" s="5"/>
      <c r="K61" s="5"/>
    </row>
    <row r="62" spans="2:11" x14ac:dyDescent="0.25">
      <c r="B62" s="1424"/>
      <c r="C62" s="93"/>
      <c r="D62" s="52" t="s">
        <v>1172</v>
      </c>
      <c r="E62" s="5"/>
      <c r="F62" s="5"/>
      <c r="G62" s="5"/>
      <c r="H62" s="5"/>
      <c r="I62" s="5"/>
      <c r="J62" s="5"/>
      <c r="K62" s="5"/>
    </row>
    <row r="63" spans="2:11" x14ac:dyDescent="0.25">
      <c r="B63" s="1424"/>
      <c r="C63" s="93"/>
      <c r="D63" s="45" t="s">
        <v>1173</v>
      </c>
      <c r="E63" s="5"/>
      <c r="F63" s="5"/>
      <c r="G63" s="5"/>
      <c r="H63" s="5"/>
      <c r="I63" s="5"/>
      <c r="J63" s="5"/>
      <c r="K63" s="5"/>
    </row>
    <row r="64" spans="2:11" ht="36" x14ac:dyDescent="0.25">
      <c r="B64" s="1424"/>
      <c r="C64" s="93"/>
      <c r="D64" s="45" t="s">
        <v>1174</v>
      </c>
      <c r="E64" s="5"/>
      <c r="F64" s="5"/>
      <c r="G64" s="5"/>
      <c r="H64" s="5"/>
      <c r="I64" s="5"/>
      <c r="J64" s="5"/>
      <c r="K64" s="5"/>
    </row>
    <row r="65" spans="2:11" ht="45.75" thickBot="1" x14ac:dyDescent="0.3">
      <c r="B65" s="1425"/>
      <c r="C65" s="2"/>
      <c r="D65" s="256" t="s">
        <v>1175</v>
      </c>
      <c r="E65" s="5"/>
      <c r="F65" s="5"/>
      <c r="G65" s="5"/>
      <c r="H65" s="5"/>
      <c r="I65" s="5"/>
      <c r="J65" s="5"/>
      <c r="K65" s="5"/>
    </row>
    <row r="66" spans="2:11" ht="24.75" thickBot="1" x14ac:dyDescent="0.3">
      <c r="B66" s="46" t="s">
        <v>957</v>
      </c>
      <c r="C66" s="2"/>
      <c r="D66" s="40"/>
      <c r="E66" s="5"/>
      <c r="F66" s="5"/>
      <c r="G66" s="5"/>
      <c r="H66" s="5"/>
      <c r="I66" s="5"/>
      <c r="J66" s="5"/>
      <c r="K66" s="5"/>
    </row>
    <row r="67" spans="2:11" ht="228" x14ac:dyDescent="0.25">
      <c r="B67" s="1423" t="s">
        <v>958</v>
      </c>
      <c r="C67" s="93"/>
      <c r="D67" s="45" t="s">
        <v>1176</v>
      </c>
      <c r="E67" s="5"/>
      <c r="F67" s="5"/>
      <c r="G67" s="5"/>
      <c r="H67" s="5"/>
      <c r="I67" s="5"/>
      <c r="J67" s="5"/>
      <c r="K67" s="5"/>
    </row>
    <row r="68" spans="2:11" ht="180" x14ac:dyDescent="0.25">
      <c r="B68" s="1424"/>
      <c r="C68" s="93"/>
      <c r="D68" s="45" t="s">
        <v>1177</v>
      </c>
      <c r="E68" s="5"/>
      <c r="F68" s="5"/>
      <c r="G68" s="5"/>
      <c r="H68" s="5"/>
      <c r="I68" s="5"/>
      <c r="J68" s="5"/>
      <c r="K68" s="5"/>
    </row>
    <row r="69" spans="2:11" ht="72" x14ac:dyDescent="0.25">
      <c r="B69" s="1424"/>
      <c r="C69" s="93"/>
      <c r="D69" s="45" t="s">
        <v>1178</v>
      </c>
      <c r="E69" s="5"/>
      <c r="F69" s="5"/>
      <c r="G69" s="5"/>
      <c r="H69" s="5"/>
      <c r="I69" s="5"/>
      <c r="J69" s="5"/>
      <c r="K69" s="5"/>
    </row>
    <row r="70" spans="2:11" ht="24" x14ac:dyDescent="0.25">
      <c r="B70" s="1424"/>
      <c r="C70" s="93"/>
      <c r="D70" s="45" t="s">
        <v>1179</v>
      </c>
      <c r="E70" s="5"/>
      <c r="F70" s="5"/>
      <c r="G70" s="5"/>
      <c r="H70" s="5"/>
      <c r="I70" s="5"/>
      <c r="J70" s="5"/>
      <c r="K70" s="5"/>
    </row>
    <row r="71" spans="2:11" ht="72" x14ac:dyDescent="0.25">
      <c r="B71" s="1424"/>
      <c r="C71" s="93"/>
      <c r="D71" s="60" t="s">
        <v>1180</v>
      </c>
      <c r="E71" s="5"/>
      <c r="F71" s="5"/>
      <c r="G71" s="5"/>
      <c r="H71" s="5"/>
      <c r="I71" s="5"/>
      <c r="J71" s="5"/>
      <c r="K71" s="5"/>
    </row>
    <row r="72" spans="2:11" ht="84" x14ac:dyDescent="0.25">
      <c r="B72" s="1424"/>
      <c r="C72" s="93"/>
      <c r="D72" s="60" t="s">
        <v>1181</v>
      </c>
      <c r="E72" s="5"/>
      <c r="F72" s="5"/>
      <c r="G72" s="5"/>
      <c r="H72" s="5"/>
      <c r="I72" s="5"/>
      <c r="J72" s="5"/>
      <c r="K72" s="5"/>
    </row>
    <row r="73" spans="2:11" ht="36" x14ac:dyDescent="0.25">
      <c r="B73" s="1424"/>
      <c r="C73" s="93"/>
      <c r="D73" s="60" t="s">
        <v>1182</v>
      </c>
      <c r="E73" s="5"/>
      <c r="F73" s="5"/>
      <c r="G73" s="5"/>
      <c r="H73" s="5"/>
      <c r="I73" s="5"/>
      <c r="J73" s="5"/>
      <c r="K73" s="5"/>
    </row>
    <row r="74" spans="2:11" ht="36" x14ac:dyDescent="0.25">
      <c r="B74" s="1424"/>
      <c r="C74" s="93"/>
      <c r="D74" s="60" t="s">
        <v>1183</v>
      </c>
      <c r="E74" s="5"/>
      <c r="F74" s="5"/>
      <c r="G74" s="5"/>
      <c r="H74" s="5"/>
      <c r="I74" s="5"/>
      <c r="J74" s="5"/>
      <c r="K74" s="5"/>
    </row>
    <row r="75" spans="2:11" ht="48" x14ac:dyDescent="0.25">
      <c r="B75" s="1424"/>
      <c r="C75" s="93"/>
      <c r="D75" s="60" t="s">
        <v>1184</v>
      </c>
      <c r="E75" s="5"/>
      <c r="F75" s="5"/>
      <c r="G75" s="5"/>
      <c r="H75" s="5"/>
      <c r="I75" s="5"/>
      <c r="J75" s="5"/>
      <c r="K75" s="5"/>
    </row>
    <row r="76" spans="2:11" ht="60.75" thickBot="1" x14ac:dyDescent="0.3">
      <c r="B76" s="1425"/>
      <c r="C76" s="2"/>
      <c r="D76" s="61" t="s">
        <v>1185</v>
      </c>
      <c r="E76" s="5"/>
      <c r="F76" s="5"/>
      <c r="G76" s="5"/>
      <c r="H76" s="5"/>
      <c r="I76" s="5"/>
      <c r="J76" s="5"/>
      <c r="K76" s="5"/>
    </row>
    <row r="77" spans="2:11" x14ac:dyDescent="0.25">
      <c r="B77" s="1423" t="s">
        <v>975</v>
      </c>
      <c r="C77" s="93"/>
      <c r="D77" s="45"/>
      <c r="E77" s="5"/>
      <c r="F77" s="5"/>
      <c r="G77" s="5"/>
      <c r="H77" s="5"/>
      <c r="I77" s="5"/>
      <c r="J77" s="5"/>
      <c r="K77" s="5"/>
    </row>
    <row r="78" spans="2:11" x14ac:dyDescent="0.25">
      <c r="B78" s="1424"/>
      <c r="C78" s="93"/>
      <c r="D78" s="16"/>
      <c r="E78" s="5"/>
      <c r="F78" s="5"/>
      <c r="G78" s="5"/>
      <c r="H78" s="5"/>
      <c r="I78" s="5"/>
      <c r="J78" s="5"/>
      <c r="K78" s="5"/>
    </row>
    <row r="79" spans="2:11" x14ac:dyDescent="0.25">
      <c r="B79" s="1424"/>
      <c r="C79" s="93"/>
      <c r="D79" s="45" t="s">
        <v>976</v>
      </c>
      <c r="E79" s="5"/>
      <c r="F79" s="5"/>
      <c r="G79" s="5"/>
      <c r="H79" s="5"/>
      <c r="I79" s="5"/>
      <c r="J79" s="5"/>
      <c r="K79" s="5"/>
    </row>
    <row r="80" spans="2:11" ht="61.5" x14ac:dyDescent="0.25">
      <c r="B80" s="1424"/>
      <c r="C80" s="93"/>
      <c r="D80" s="45" t="s">
        <v>1186</v>
      </c>
      <c r="E80" s="5"/>
      <c r="F80" s="5"/>
      <c r="G80" s="5"/>
      <c r="H80" s="5"/>
      <c r="I80" s="5"/>
      <c r="J80" s="5"/>
      <c r="K80" s="5"/>
    </row>
    <row r="81" spans="2:11" ht="61.5" x14ac:dyDescent="0.25">
      <c r="B81" s="1424"/>
      <c r="C81" s="93"/>
      <c r="D81" s="45" t="s">
        <v>1187</v>
      </c>
      <c r="E81" s="5"/>
      <c r="F81" s="5"/>
      <c r="G81" s="5"/>
      <c r="H81" s="5"/>
      <c r="I81" s="5"/>
      <c r="J81" s="5"/>
      <c r="K81" s="5"/>
    </row>
    <row r="82" spans="2:11" ht="62.25" thickBot="1" x14ac:dyDescent="0.3">
      <c r="B82" s="1425"/>
      <c r="C82" s="2"/>
      <c r="D82" s="40" t="s">
        <v>1188</v>
      </c>
      <c r="E82" s="5"/>
      <c r="F82" s="5"/>
      <c r="G82" s="5"/>
      <c r="H82" s="5"/>
      <c r="I82" s="5"/>
      <c r="J82" s="5"/>
      <c r="K82" s="5"/>
    </row>
  </sheetData>
  <mergeCells count="29">
    <mergeCell ref="A1:P1"/>
    <mergeCell ref="A2:P2"/>
    <mergeCell ref="A3:P3"/>
    <mergeCell ref="A4:D4"/>
    <mergeCell ref="A5:P5"/>
    <mergeCell ref="D15:I15"/>
    <mergeCell ref="D20:I20"/>
    <mergeCell ref="D24:I24"/>
    <mergeCell ref="E21:E22"/>
    <mergeCell ref="B15:B20"/>
    <mergeCell ref="F21:F22"/>
    <mergeCell ref="G21:G22"/>
    <mergeCell ref="B52:D52"/>
    <mergeCell ref="B54:B65"/>
    <mergeCell ref="B67:B76"/>
    <mergeCell ref="B77:B82"/>
    <mergeCell ref="C21:C22"/>
    <mergeCell ref="D21:D22"/>
    <mergeCell ref="B37:B43"/>
    <mergeCell ref="B50:E50"/>
    <mergeCell ref="D25:I25"/>
    <mergeCell ref="B27:E27"/>
    <mergeCell ref="B28:B34"/>
    <mergeCell ref="B36:E36"/>
    <mergeCell ref="B10:D10"/>
    <mergeCell ref="F10:S10"/>
    <mergeCell ref="F11:S11"/>
    <mergeCell ref="E12:R12"/>
    <mergeCell ref="E13:R13"/>
  </mergeCells>
  <conditionalFormatting sqref="F10">
    <cfRule type="notContainsBlanks" dxfId="104" priority="4">
      <formula>LEN(TRIM(F10))&gt;0</formula>
    </cfRule>
  </conditionalFormatting>
  <conditionalFormatting sqref="F11:S11">
    <cfRule type="expression" dxfId="103" priority="2">
      <formula>E11="NO SE REPORTA"</formula>
    </cfRule>
    <cfRule type="expression" dxfId="102" priority="3">
      <formula>E10="NO APLICA"</formula>
    </cfRule>
  </conditionalFormatting>
  <conditionalFormatting sqref="E12:R12">
    <cfRule type="expression" dxfId="101"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65" r:id="rId1" display="http://cambioclimatico.minambiente.gov.co/"/>
    <hyperlink ref="B9" location="'ANEXO 3'!A1" display="VOLVER AL INDICE"/>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77"/>
  <sheetViews>
    <sheetView topLeftCell="A6" zoomScaleNormal="100" workbookViewId="0">
      <pane ySplit="2" topLeftCell="A26" activePane="bottomLeft" state="frozen"/>
      <selection activeCell="A6" sqref="A6"/>
      <selection pane="bottomLeft" activeCell="AC29" sqref="AC29"/>
    </sheetView>
  </sheetViews>
  <sheetFormatPr baseColWidth="10" defaultColWidth="11.42578125" defaultRowHeight="12.75" x14ac:dyDescent="0.25"/>
  <cols>
    <col min="1" max="1" width="36.85546875" style="965" customWidth="1"/>
    <col min="2" max="2" width="12.42578125" style="389" customWidth="1"/>
    <col min="3" max="4" width="9.7109375" style="764" hidden="1" customWidth="1"/>
    <col min="5" max="5" width="9.7109375" style="764" customWidth="1"/>
    <col min="6" max="6" width="9.7109375" style="764" hidden="1" customWidth="1"/>
    <col min="7" max="8" width="11.85546875" style="764" hidden="1" customWidth="1"/>
    <col min="9" max="9" width="11.85546875" style="764" customWidth="1"/>
    <col min="10" max="10" width="13.7109375" style="764" hidden="1" customWidth="1"/>
    <col min="11" max="11" width="13.42578125" style="764" hidden="1" customWidth="1"/>
    <col min="12" max="12" width="13.42578125" style="966" hidden="1" customWidth="1"/>
    <col min="13" max="13" width="13.42578125" style="966" customWidth="1"/>
    <col min="14" max="14" width="89.42578125" style="389" hidden="1" customWidth="1"/>
    <col min="15" max="15" width="11.28515625" style="389" hidden="1" customWidth="1"/>
    <col min="16" max="16" width="18.7109375" style="389" hidden="1" customWidth="1"/>
    <col min="17" max="17" width="28.140625" style="389" hidden="1" customWidth="1"/>
    <col min="18" max="18" width="20.42578125" style="389" hidden="1" customWidth="1"/>
    <col min="19" max="19" width="15.7109375" style="389" hidden="1" customWidth="1"/>
    <col min="20" max="20" width="8.7109375" style="389" hidden="1" customWidth="1"/>
    <col min="21" max="21" width="12.85546875" style="389" hidden="1" customWidth="1"/>
    <col min="22" max="22" width="6.28515625" style="389" hidden="1" customWidth="1"/>
    <col min="23" max="23" width="16.140625" style="389" hidden="1" customWidth="1"/>
    <col min="24" max="25" width="7.42578125" style="389" bestFit="1" customWidth="1"/>
    <col min="26" max="26" width="10" style="966" customWidth="1"/>
    <col min="27" max="27" width="11.42578125" style="967" customWidth="1"/>
    <col min="28" max="28" width="10.7109375" style="967" customWidth="1"/>
    <col min="29" max="29" width="10.140625" style="967" customWidth="1"/>
    <col min="30" max="30" width="16.42578125" style="389" bestFit="1" customWidth="1"/>
    <col min="31" max="32" width="12.85546875" style="389" hidden="1" customWidth="1"/>
    <col min="33" max="33" width="12.85546875" style="389" bestFit="1" customWidth="1"/>
    <col min="34" max="34" width="10" style="967" bestFit="1" customWidth="1"/>
    <col min="35" max="35" width="14.85546875" style="389" customWidth="1"/>
    <col min="36" max="36" width="12.85546875" style="389" customWidth="1"/>
    <col min="37" max="37" width="15" style="764" customWidth="1"/>
    <col min="38" max="38" width="12.85546875" style="389" customWidth="1"/>
    <col min="39" max="39" width="11.7109375" style="389" customWidth="1"/>
    <col min="40" max="40" width="12" style="389" customWidth="1"/>
    <col min="41" max="41" width="12.28515625" style="389" customWidth="1"/>
    <col min="42" max="43" width="13.42578125" style="389" bestFit="1" customWidth="1"/>
    <col min="44" max="44" width="10" style="389" bestFit="1" customWidth="1"/>
    <col min="45" max="45" width="12.7109375" style="389" bestFit="1" customWidth="1"/>
    <col min="46" max="46" width="20.7109375" style="389" hidden="1" customWidth="1"/>
    <col min="47" max="47" width="32.28515625" style="389" hidden="1" customWidth="1"/>
    <col min="48" max="48" width="63.28515625" style="389" hidden="1" customWidth="1"/>
    <col min="49" max="49" width="11.42578125" style="389" hidden="1" customWidth="1"/>
    <col min="50" max="51" width="6" style="389" hidden="1" customWidth="1"/>
    <col min="52" max="53" width="14.7109375" style="1038" bestFit="1" customWidth="1"/>
    <col min="54" max="54" width="6.85546875" style="389" bestFit="1" customWidth="1"/>
    <col min="55" max="55" width="15.7109375" style="1038" bestFit="1" customWidth="1"/>
    <col min="56" max="56" width="7.28515625" style="389" bestFit="1" customWidth="1"/>
    <col min="57" max="16384" width="11.42578125" style="389"/>
  </cols>
  <sheetData>
    <row r="1" spans="1:56" ht="13.5" hidden="1" thickBot="1" x14ac:dyDescent="0.3">
      <c r="A1" s="1257"/>
      <c r="B1" s="1258"/>
      <c r="C1" s="1258"/>
      <c r="D1" s="1258"/>
      <c r="E1" s="1258"/>
      <c r="F1" s="1258"/>
      <c r="G1" s="1258"/>
      <c r="H1" s="1258"/>
      <c r="I1" s="1258"/>
      <c r="J1" s="1258"/>
      <c r="K1" s="1258"/>
      <c r="L1" s="1258"/>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1258"/>
      <c r="AO1" s="1258"/>
      <c r="AP1" s="1258"/>
      <c r="AQ1" s="1258"/>
      <c r="AR1" s="1258"/>
      <c r="AS1" s="1258"/>
      <c r="AT1" s="1258"/>
      <c r="AU1" s="1258"/>
      <c r="AV1" s="1259"/>
    </row>
    <row r="2" spans="1:56" s="759" customFormat="1" ht="16.5" hidden="1" thickBot="1" x14ac:dyDescent="0.3">
      <c r="A2" s="1260" t="str">
        <f>+'[5]Datos Generales'!C5</f>
        <v>Corporación Autónoma Regional del Canal del Dique – CARDIQUE</v>
      </c>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2"/>
      <c r="AZ2" s="1039"/>
      <c r="BA2" s="1039"/>
      <c r="BC2" s="1039"/>
    </row>
    <row r="3" spans="1:56" s="759" customFormat="1" ht="16.5" hidden="1" thickBot="1" x14ac:dyDescent="0.3">
      <c r="A3" s="1263" t="s">
        <v>61</v>
      </c>
      <c r="B3" s="1264"/>
      <c r="C3" s="1264"/>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264"/>
      <c r="AS3" s="1264"/>
      <c r="AT3" s="1264"/>
      <c r="AU3" s="1264"/>
      <c r="AV3" s="1265"/>
      <c r="AZ3" s="1039"/>
      <c r="BA3" s="1039"/>
      <c r="BC3" s="1039"/>
    </row>
    <row r="4" spans="1:56" s="759" customFormat="1" ht="16.5" hidden="1" thickBot="1" x14ac:dyDescent="0.3">
      <c r="A4" s="760" t="s">
        <v>62</v>
      </c>
      <c r="B4" s="405" t="str">
        <f>'[5]Datos Generales'!C6</f>
        <v>2021-II</v>
      </c>
      <c r="C4" s="1012"/>
      <c r="D4" s="1012"/>
      <c r="E4" s="1012"/>
      <c r="F4" s="1012"/>
      <c r="G4" s="1012"/>
      <c r="H4" s="1012"/>
      <c r="I4" s="1012"/>
      <c r="J4" s="1012"/>
      <c r="K4" s="1012"/>
      <c r="L4" s="761"/>
      <c r="M4" s="761"/>
      <c r="N4" s="405"/>
      <c r="O4" s="405"/>
      <c r="P4" s="405"/>
      <c r="Q4" s="405"/>
      <c r="R4" s="405"/>
      <c r="S4" s="405"/>
      <c r="T4" s="405"/>
      <c r="U4" s="405"/>
      <c r="V4" s="405"/>
      <c r="W4" s="405"/>
      <c r="X4" s="405"/>
      <c r="Y4" s="405"/>
      <c r="Z4" s="761"/>
      <c r="AA4" s="762"/>
      <c r="AB4" s="762"/>
      <c r="AC4" s="762"/>
      <c r="AD4" s="405"/>
      <c r="AE4" s="405"/>
      <c r="AF4" s="405"/>
      <c r="AG4" s="405"/>
      <c r="AH4" s="762"/>
      <c r="AI4" s="405"/>
      <c r="AJ4" s="405"/>
      <c r="AK4" s="1012"/>
      <c r="AL4" s="405"/>
      <c r="AM4" s="405"/>
      <c r="AN4" s="405"/>
      <c r="AO4" s="405"/>
      <c r="AP4" s="405"/>
      <c r="AQ4" s="405"/>
      <c r="AR4" s="405"/>
      <c r="AS4" s="405"/>
      <c r="AT4" s="405"/>
      <c r="AU4" s="405"/>
      <c r="AV4" s="406"/>
      <c r="AZ4" s="1039"/>
      <c r="BA4" s="1039"/>
      <c r="BC4" s="1039"/>
    </row>
    <row r="5" spans="1:56" ht="17.25" hidden="1" thickBot="1" x14ac:dyDescent="0.3">
      <c r="A5" s="1282" t="s">
        <v>2245</v>
      </c>
      <c r="B5" s="1266" t="s">
        <v>63</v>
      </c>
      <c r="C5" s="1267"/>
      <c r="D5" s="1267"/>
      <c r="E5" s="1267"/>
      <c r="F5" s="1267"/>
      <c r="G5" s="1267"/>
      <c r="H5" s="1267"/>
      <c r="I5" s="1267"/>
      <c r="J5" s="1267"/>
      <c r="K5" s="1267"/>
      <c r="L5" s="1267"/>
      <c r="M5" s="1267"/>
      <c r="N5" s="1267"/>
      <c r="O5" s="1267"/>
      <c r="P5" s="1267"/>
      <c r="Q5" s="1267"/>
      <c r="R5" s="1267"/>
      <c r="S5" s="1267"/>
      <c r="T5" s="1267"/>
      <c r="U5" s="1267"/>
      <c r="V5" s="1267"/>
      <c r="W5" s="1267"/>
      <c r="X5" s="1267"/>
      <c r="Y5" s="1268"/>
      <c r="Z5" s="1268"/>
      <c r="AA5" s="1268"/>
      <c r="AB5" s="1268"/>
      <c r="AC5" s="1010"/>
      <c r="AD5" s="1269"/>
      <c r="AE5" s="1269"/>
      <c r="AF5" s="1269"/>
      <c r="AG5" s="1269"/>
      <c r="AH5" s="1269"/>
      <c r="AI5" s="1269"/>
      <c r="AJ5" s="1269"/>
      <c r="AK5" s="1269"/>
      <c r="AL5" s="1269"/>
      <c r="AM5" s="1269"/>
      <c r="AN5" s="1269"/>
      <c r="AO5" s="1269"/>
      <c r="AP5" s="1269"/>
      <c r="AQ5" s="1269"/>
      <c r="AR5" s="1269"/>
      <c r="AS5" s="1270" t="s">
        <v>2246</v>
      </c>
      <c r="AT5" s="1273" t="s">
        <v>2247</v>
      </c>
      <c r="AU5" s="1276" t="s">
        <v>2248</v>
      </c>
      <c r="AV5" s="1279" t="s">
        <v>2249</v>
      </c>
      <c r="AW5" s="1290" t="s">
        <v>2250</v>
      </c>
      <c r="AX5" s="1290" t="s">
        <v>2251</v>
      </c>
    </row>
    <row r="6" spans="1:56" s="764" customFormat="1" ht="102.75" thickBot="1" x14ac:dyDescent="0.3">
      <c r="A6" s="1283"/>
      <c r="B6" s="1254" t="s">
        <v>2252</v>
      </c>
      <c r="C6" s="1293" t="s">
        <v>2253</v>
      </c>
      <c r="D6" s="1294"/>
      <c r="E6" s="1294"/>
      <c r="F6" s="1294"/>
      <c r="G6" s="1293" t="s">
        <v>2254</v>
      </c>
      <c r="H6" s="1294"/>
      <c r="I6" s="1295"/>
      <c r="J6" s="763" t="s">
        <v>2255</v>
      </c>
      <c r="K6" s="1296" t="s">
        <v>64</v>
      </c>
      <c r="L6" s="1297"/>
      <c r="M6" s="1298"/>
      <c r="N6" s="1248" t="s">
        <v>65</v>
      </c>
      <c r="O6" s="1250" t="s">
        <v>2256</v>
      </c>
      <c r="P6" s="1252" t="s">
        <v>66</v>
      </c>
      <c r="Q6" s="1252" t="s">
        <v>67</v>
      </c>
      <c r="R6" s="1252" t="s">
        <v>68</v>
      </c>
      <c r="S6" s="1252" t="s">
        <v>69</v>
      </c>
      <c r="T6" s="1250" t="s">
        <v>70</v>
      </c>
      <c r="U6" s="1250" t="s">
        <v>71</v>
      </c>
      <c r="V6" s="1250" t="s">
        <v>72</v>
      </c>
      <c r="W6" s="1254" t="s">
        <v>2257</v>
      </c>
      <c r="X6" s="1285" t="s">
        <v>2258</v>
      </c>
      <c r="Y6" s="1285" t="s">
        <v>2259</v>
      </c>
      <c r="Z6" s="1299" t="s">
        <v>2260</v>
      </c>
      <c r="AA6" s="1246" t="s">
        <v>2261</v>
      </c>
      <c r="AB6" s="1246" t="s">
        <v>2262</v>
      </c>
      <c r="AC6" s="1246" t="s">
        <v>2516</v>
      </c>
      <c r="AD6" s="1241" t="s">
        <v>2517</v>
      </c>
      <c r="AE6" s="1301" t="s">
        <v>2263</v>
      </c>
      <c r="AF6" s="1302"/>
      <c r="AG6" s="1303"/>
      <c r="AH6" s="1288" t="s">
        <v>2264</v>
      </c>
      <c r="AI6" s="1241" t="s">
        <v>74</v>
      </c>
      <c r="AJ6" s="996" t="s">
        <v>1123</v>
      </c>
      <c r="AK6" s="1241" t="s">
        <v>2265</v>
      </c>
      <c r="AL6" s="1241" t="s">
        <v>2266</v>
      </c>
      <c r="AM6" s="1241" t="s">
        <v>2518</v>
      </c>
      <c r="AN6" s="1241" t="s">
        <v>2519</v>
      </c>
      <c r="AO6" s="1241" t="s">
        <v>2267</v>
      </c>
      <c r="AP6" s="1304" t="s">
        <v>2268</v>
      </c>
      <c r="AQ6" s="1304" t="s">
        <v>2269</v>
      </c>
      <c r="AR6" s="1304" t="s">
        <v>2270</v>
      </c>
      <c r="AS6" s="1271"/>
      <c r="AT6" s="1274"/>
      <c r="AU6" s="1277"/>
      <c r="AV6" s="1280"/>
      <c r="AW6" s="1291"/>
      <c r="AX6" s="1291"/>
      <c r="AZ6" s="1040"/>
      <c r="BA6" s="1040"/>
      <c r="BC6" s="1040"/>
    </row>
    <row r="7" spans="1:56" ht="13.5" thickBot="1" x14ac:dyDescent="0.3">
      <c r="A7" s="1284"/>
      <c r="B7" s="1255"/>
      <c r="C7" s="1009">
        <v>2020</v>
      </c>
      <c r="D7" s="1009">
        <v>2021</v>
      </c>
      <c r="E7" s="1009">
        <v>2022</v>
      </c>
      <c r="F7" s="1009">
        <v>2023</v>
      </c>
      <c r="G7" s="1009">
        <v>2020</v>
      </c>
      <c r="H7" s="1009">
        <v>2021</v>
      </c>
      <c r="I7" s="1009">
        <v>2022</v>
      </c>
      <c r="J7" s="1009">
        <v>2022</v>
      </c>
      <c r="K7" s="1009">
        <v>2020</v>
      </c>
      <c r="L7" s="1009">
        <v>2021</v>
      </c>
      <c r="M7" s="763">
        <v>2022</v>
      </c>
      <c r="N7" s="1249"/>
      <c r="O7" s="1251"/>
      <c r="P7" s="1253"/>
      <c r="Q7" s="1253"/>
      <c r="R7" s="1253"/>
      <c r="S7" s="1253"/>
      <c r="T7" s="1251"/>
      <c r="U7" s="1251"/>
      <c r="V7" s="1251"/>
      <c r="W7" s="1255"/>
      <c r="X7" s="1286"/>
      <c r="Y7" s="1287"/>
      <c r="Z7" s="1300"/>
      <c r="AA7" s="1247"/>
      <c r="AB7" s="1247"/>
      <c r="AC7" s="1247"/>
      <c r="AD7" s="1242"/>
      <c r="AE7" s="1018">
        <v>2020</v>
      </c>
      <c r="AF7" s="1008">
        <v>2021</v>
      </c>
      <c r="AG7" s="1008">
        <v>2022</v>
      </c>
      <c r="AH7" s="1289"/>
      <c r="AI7" s="1242"/>
      <c r="AJ7" s="997"/>
      <c r="AK7" s="1242"/>
      <c r="AL7" s="1242"/>
      <c r="AM7" s="1242"/>
      <c r="AN7" s="1242"/>
      <c r="AO7" s="1242"/>
      <c r="AP7" s="1305"/>
      <c r="AQ7" s="1305"/>
      <c r="AR7" s="1305"/>
      <c r="AS7" s="1272"/>
      <c r="AT7" s="1275"/>
      <c r="AU7" s="1278"/>
      <c r="AV7" s="1281"/>
      <c r="AW7" s="1292"/>
      <c r="AX7" s="1292"/>
    </row>
    <row r="8" spans="1:56" ht="25.5" x14ac:dyDescent="0.25">
      <c r="A8" s="765" t="s">
        <v>2150</v>
      </c>
      <c r="B8" s="766"/>
      <c r="C8" s="767"/>
      <c r="D8" s="767"/>
      <c r="E8" s="767"/>
      <c r="F8" s="767"/>
      <c r="G8" s="767"/>
      <c r="H8" s="767"/>
      <c r="I8" s="767"/>
      <c r="J8" s="767"/>
      <c r="K8" s="768">
        <f>+(K9*AA9)+(K24*AA24)</f>
        <v>0.40736</v>
      </c>
      <c r="L8" s="768">
        <f>+(L9*AB9)+(L24*AB24)</f>
        <v>0.7165821714285715</v>
      </c>
      <c r="M8" s="768">
        <f>+(M9*AC9)+(M24*AC24)</f>
        <v>0.87168000000000012</v>
      </c>
      <c r="N8" s="769"/>
      <c r="O8" s="769"/>
      <c r="P8" s="770"/>
      <c r="Q8" s="771"/>
      <c r="R8" s="771"/>
      <c r="S8" s="769"/>
      <c r="T8" s="769"/>
      <c r="U8" s="769"/>
      <c r="V8" s="772"/>
      <c r="W8" s="773"/>
      <c r="X8" s="774"/>
      <c r="Y8" s="775"/>
      <c r="Z8" s="776">
        <f>+(Z9*AA9)+(Z24*AA24)</f>
        <v>0.71444011788211781</v>
      </c>
      <c r="AA8" s="777">
        <v>0.2</v>
      </c>
      <c r="AB8" s="778">
        <v>0.2</v>
      </c>
      <c r="AC8" s="778">
        <v>0.2</v>
      </c>
      <c r="AD8" s="796">
        <f>+'Anexo 5.2-A. Gastos Rev'!CD4</f>
        <v>52172985552</v>
      </c>
      <c r="AE8" s="779">
        <f>+AE9</f>
        <v>40616838809.330002</v>
      </c>
      <c r="AF8" s="779">
        <f>+AF9+AF24</f>
        <v>40949686248</v>
      </c>
      <c r="AG8" s="995">
        <f>+'Anexo 5.2-A. Gastos Rev'!CE4</f>
        <v>52159134491.660004</v>
      </c>
      <c r="AH8" s="780">
        <f t="shared" ref="AH8:AH39" si="0">+AG8/AD8</f>
        <v>0.9997345166240067</v>
      </c>
      <c r="AI8" s="779">
        <f>+'Anexo 5.2-A. Gastos Rev'!CF4</f>
        <v>8970016738</v>
      </c>
      <c r="AJ8" s="995">
        <f>+'Anexo 5.2-A. Gastos Rev'!CG4</f>
        <v>8773950648</v>
      </c>
      <c r="AK8" s="780">
        <f>+AI8/AG8</f>
        <v>0.17197403341564771</v>
      </c>
      <c r="AL8" s="779">
        <f>+AG8-AI8</f>
        <v>43189117753.660004</v>
      </c>
      <c r="AM8" s="779">
        <f>+AM9+AM24</f>
        <v>0</v>
      </c>
      <c r="AN8" s="779">
        <f>+AN9+AN24</f>
        <v>0</v>
      </c>
      <c r="AO8" s="781" t="e">
        <f>+AN8/AM8</f>
        <v>#DIV/0!</v>
      </c>
      <c r="AP8" s="779">
        <f>+AP9</f>
        <v>134235770233</v>
      </c>
      <c r="AQ8" s="779">
        <f>+AE8+AF8+AG8</f>
        <v>133725659548.99001</v>
      </c>
      <c r="AR8" s="768">
        <f>+(AQ8/AP8)</f>
        <v>0.99619989006563181</v>
      </c>
      <c r="AS8" s="766"/>
      <c r="AT8" s="782"/>
      <c r="AU8" s="783"/>
      <c r="AV8" s="784"/>
      <c r="AW8" s="785"/>
      <c r="AX8" s="785"/>
      <c r="BB8" s="1037"/>
      <c r="BD8" s="1037"/>
    </row>
    <row r="9" spans="1:56" ht="25.5" x14ac:dyDescent="0.25">
      <c r="A9" s="786" t="s">
        <v>2234</v>
      </c>
      <c r="B9" s="787"/>
      <c r="C9" s="788"/>
      <c r="D9" s="788"/>
      <c r="E9" s="788"/>
      <c r="F9" s="788"/>
      <c r="G9" s="788"/>
      <c r="H9" s="788"/>
      <c r="I9" s="788"/>
      <c r="J9" s="788"/>
      <c r="K9" s="789">
        <f>+(K10*AA10)+(K17*AA17)+(K21*AA21)</f>
        <v>0.50919999999999999</v>
      </c>
      <c r="L9" s="789">
        <f>+(L10*AB10)+(L17*AB17)+(L21*AB21)</f>
        <v>0.75572771428571439</v>
      </c>
      <c r="M9" s="789">
        <f>+(M10*AC10)+(M17*AC17)+(M21*AC21)</f>
        <v>0.87460000000000004</v>
      </c>
      <c r="N9" s="790"/>
      <c r="O9" s="790"/>
      <c r="P9" s="790"/>
      <c r="Q9" s="791"/>
      <c r="R9" s="791"/>
      <c r="S9" s="790"/>
      <c r="T9" s="790"/>
      <c r="U9" s="790"/>
      <c r="V9" s="790"/>
      <c r="W9" s="792"/>
      <c r="X9" s="790"/>
      <c r="Y9" s="791"/>
      <c r="Z9" s="793">
        <f>+(Z10*AA10)+(Z17*AA17)+(Z21*AA21)</f>
        <v>0.77055014735264726</v>
      </c>
      <c r="AA9" s="794">
        <v>0.8</v>
      </c>
      <c r="AB9" s="795">
        <v>0.8</v>
      </c>
      <c r="AC9" s="795">
        <v>0.8</v>
      </c>
      <c r="AD9" s="796">
        <f>+'Anexo 5.2-A. Gastos Rev'!CD5</f>
        <v>52002985552</v>
      </c>
      <c r="AE9" s="796">
        <f>+AE10+AE17+AE21+AE25</f>
        <v>40616838809.330002</v>
      </c>
      <c r="AF9" s="796">
        <f>+AF10+AF17+AF21</f>
        <v>40614763629</v>
      </c>
      <c r="AG9" s="798">
        <f>+'Anexo 5.2-A. Gastos Rev'!CE5</f>
        <v>51993474491.660004</v>
      </c>
      <c r="AH9" s="797">
        <f t="shared" si="0"/>
        <v>0.99981710549425118</v>
      </c>
      <c r="AI9" s="798">
        <f>+'Anexo 5.2-A. Gastos Rev'!CF5</f>
        <v>8904756738</v>
      </c>
      <c r="AJ9" s="798">
        <f>+'Anexo 5.2-A. Gastos Rev'!CG5</f>
        <v>8708690648</v>
      </c>
      <c r="AK9" s="797">
        <f t="shared" ref="AK9:AK72" si="1">+AI9/AG9</f>
        <v>0.17126681425047607</v>
      </c>
      <c r="AL9" s="798">
        <f t="shared" ref="AL9:AL72" si="2">+AG9-AI9</f>
        <v>43088717753.660004</v>
      </c>
      <c r="AM9" s="798">
        <f>+AM10+AM17+AM21</f>
        <v>0</v>
      </c>
      <c r="AN9" s="798">
        <f>+AN10+AN17+AN21</f>
        <v>0</v>
      </c>
      <c r="AO9" s="799" t="e">
        <f t="shared" ref="AO9:AO73" si="3">+AN9/AM9</f>
        <v>#DIV/0!</v>
      </c>
      <c r="AP9" s="796">
        <f>+AP10+AP17+AP21+AP25</f>
        <v>134235770233</v>
      </c>
      <c r="AQ9" s="800">
        <f t="shared" ref="AQ9:AQ72" si="4">+AE9+AF9+AG9</f>
        <v>133225076929.99001</v>
      </c>
      <c r="AR9" s="789">
        <f t="shared" ref="AR9:AR73" si="5">+(AQ9/AP9)</f>
        <v>0.99247076020604874</v>
      </c>
      <c r="AS9" s="801"/>
      <c r="AT9" s="802" t="s">
        <v>84</v>
      </c>
      <c r="AU9" s="803"/>
      <c r="AV9" s="804"/>
      <c r="AW9" s="805"/>
      <c r="AX9" s="805"/>
      <c r="BB9" s="1037"/>
      <c r="BD9" s="1037"/>
    </row>
    <row r="10" spans="1:56" ht="25.5" x14ac:dyDescent="0.25">
      <c r="A10" s="806" t="s">
        <v>2151</v>
      </c>
      <c r="B10" s="807"/>
      <c r="C10" s="808"/>
      <c r="D10" s="808"/>
      <c r="E10" s="808"/>
      <c r="F10" s="808"/>
      <c r="G10" s="808"/>
      <c r="H10" s="808"/>
      <c r="I10" s="808"/>
      <c r="J10" s="808"/>
      <c r="K10" s="809">
        <f>+(K11*AA11)+(K12*AA12)+(K16*AA16)</f>
        <v>0.34</v>
      </c>
      <c r="L10" s="810">
        <f>+(L11*AB11)+(L12*AB12)+(L13*AB13)+(L14*AB14)+(L15*AB15)+(L16*AB16)</f>
        <v>0.988757142857143</v>
      </c>
      <c r="M10" s="810">
        <f>+(M11*AC11)+(M12*AC12)+(M13*AC13)+(M14*AC14)+(M15*AC15)+(M16*AC16)</f>
        <v>1</v>
      </c>
      <c r="N10" s="811"/>
      <c r="O10" s="811"/>
      <c r="P10" s="811"/>
      <c r="Q10" s="812"/>
      <c r="R10" s="812"/>
      <c r="S10" s="811"/>
      <c r="T10" s="811"/>
      <c r="U10" s="811"/>
      <c r="V10" s="811"/>
      <c r="W10" s="813"/>
      <c r="X10" s="811"/>
      <c r="Y10" s="812"/>
      <c r="Z10" s="814">
        <f>+(Z11*AA11)+(Z12*AA12)+(Z13*AA13)+(Z14*AA14)+(Z15*AA15)+(Z16*AA16)</f>
        <v>0.79631091408591415</v>
      </c>
      <c r="AA10" s="815">
        <v>0.38</v>
      </c>
      <c r="AB10" s="809">
        <v>0.38</v>
      </c>
      <c r="AC10" s="809">
        <v>0.38</v>
      </c>
      <c r="AD10" s="816">
        <f>+'Anexo 5.2-A. Gastos Rev'!CD6</f>
        <v>36926985552</v>
      </c>
      <c r="AE10" s="817">
        <v>33794251825.48</v>
      </c>
      <c r="AF10" s="816">
        <f>+SUM(AF11:AF16)</f>
        <v>37114819629</v>
      </c>
      <c r="AG10" s="819">
        <f>+'Anexo 5.2-A. Gastos Rev'!CE6</f>
        <v>36926985552</v>
      </c>
      <c r="AH10" s="818">
        <f t="shared" si="0"/>
        <v>1</v>
      </c>
      <c r="AI10" s="819">
        <f>+'Anexo 5.2-A. Gastos Rev'!CF6</f>
        <v>6779847162</v>
      </c>
      <c r="AJ10" s="819">
        <f>+'Anexo 5.2-A. Gastos Rev'!CG6</f>
        <v>6583781072</v>
      </c>
      <c r="AK10" s="818">
        <f t="shared" si="1"/>
        <v>0.18360142482934941</v>
      </c>
      <c r="AL10" s="819">
        <f t="shared" si="2"/>
        <v>30147138390</v>
      </c>
      <c r="AM10" s="819">
        <f>+SUM(AM11:AM16)</f>
        <v>0</v>
      </c>
      <c r="AN10" s="819">
        <f>+SUM(AN11:AN16)</f>
        <v>0</v>
      </c>
      <c r="AO10" s="820" t="e">
        <f t="shared" si="3"/>
        <v>#DIV/0!</v>
      </c>
      <c r="AP10" s="816">
        <v>109835770233</v>
      </c>
      <c r="AQ10" s="821">
        <f t="shared" si="4"/>
        <v>107836057006.48</v>
      </c>
      <c r="AR10" s="810">
        <f t="shared" si="5"/>
        <v>0.98179360674325022</v>
      </c>
      <c r="AS10" s="822"/>
      <c r="AT10" s="823"/>
      <c r="AU10" s="824"/>
      <c r="AV10" s="825"/>
      <c r="AW10" s="826"/>
      <c r="AX10" s="826"/>
      <c r="BB10" s="1037"/>
      <c r="BD10" s="1037"/>
    </row>
    <row r="11" spans="1:56" ht="63.75" x14ac:dyDescent="0.25">
      <c r="A11" s="827" t="s">
        <v>2271</v>
      </c>
      <c r="B11" s="518" t="s">
        <v>2272</v>
      </c>
      <c r="C11" s="828">
        <v>25</v>
      </c>
      <c r="D11" s="828">
        <v>68</v>
      </c>
      <c r="E11" s="828">
        <v>28</v>
      </c>
      <c r="F11" s="828">
        <v>15</v>
      </c>
      <c r="G11" s="828">
        <v>25</v>
      </c>
      <c r="H11" s="828">
        <v>67</v>
      </c>
      <c r="I11" s="828">
        <v>28</v>
      </c>
      <c r="J11" s="828"/>
      <c r="K11" s="829">
        <f>IF((G11+J11)/C11&gt;=100%,100%,(G11+J11)/C11)</f>
        <v>1</v>
      </c>
      <c r="L11" s="830">
        <f t="shared" ref="L11:M16" si="6">IF(H11/D11&gt;=100%,100%,H11/D11)</f>
        <v>0.98529411764705888</v>
      </c>
      <c r="M11" s="830">
        <f t="shared" si="6"/>
        <v>1</v>
      </c>
      <c r="N11" s="390" t="s">
        <v>2520</v>
      </c>
      <c r="O11" s="390"/>
      <c r="P11" s="831" t="s">
        <v>75</v>
      </c>
      <c r="Q11" s="832"/>
      <c r="R11" s="832" t="s">
        <v>2521</v>
      </c>
      <c r="S11" s="390" t="s">
        <v>2522</v>
      </c>
      <c r="T11" s="390"/>
      <c r="U11" s="390"/>
      <c r="V11" s="833"/>
      <c r="W11" s="834"/>
      <c r="X11" s="390">
        <v>143</v>
      </c>
      <c r="Y11" s="835">
        <f t="shared" ref="Y11:Y16" si="7">SUM(G11:I11)</f>
        <v>120</v>
      </c>
      <c r="Z11" s="836">
        <f>IF(Y11/X11&gt;=100%,100%,Y11/X11)</f>
        <v>0.83916083916083917</v>
      </c>
      <c r="AA11" s="837">
        <v>0.17</v>
      </c>
      <c r="AB11" s="838">
        <v>0.17</v>
      </c>
      <c r="AC11" s="838">
        <v>0.17</v>
      </c>
      <c r="AD11" s="844">
        <f>+'Anexo 5.2-A. Gastos Rev'!CD7</f>
        <v>29191482237.059998</v>
      </c>
      <c r="AE11" s="840"/>
      <c r="AF11" s="844">
        <v>26789880126</v>
      </c>
      <c r="AG11" s="984">
        <f>+'Anexo 5.2-A. Gastos Rev'!CE7</f>
        <v>29191482237.059998</v>
      </c>
      <c r="AH11" s="837">
        <f t="shared" si="0"/>
        <v>1</v>
      </c>
      <c r="AI11" s="998">
        <f>+'Anexo 5.2-A. Gastos Rev'!CF7</f>
        <v>4090350707.5799999</v>
      </c>
      <c r="AJ11" s="998">
        <f>+'Anexo 5.2-A. Gastos Rev'!CG7</f>
        <v>3971382480.5799999</v>
      </c>
      <c r="AK11" s="986">
        <f t="shared" si="1"/>
        <v>0.14012137768006525</v>
      </c>
      <c r="AL11" s="998">
        <f t="shared" si="2"/>
        <v>25101131529.479996</v>
      </c>
      <c r="AM11" s="842"/>
      <c r="AN11" s="842"/>
      <c r="AO11" s="1058" t="e">
        <f>+AN11/AM11</f>
        <v>#DIV/0!</v>
      </c>
      <c r="AP11" s="839"/>
      <c r="AQ11" s="844">
        <f t="shared" si="4"/>
        <v>55981362363.059998</v>
      </c>
      <c r="AR11" s="845" t="e">
        <f>+(AQ11/AP11)</f>
        <v>#DIV/0!</v>
      </c>
      <c r="AS11" s="492"/>
      <c r="AT11" s="494"/>
      <c r="AU11" s="493" t="s">
        <v>91</v>
      </c>
      <c r="AV11" s="846" t="s">
        <v>2273</v>
      </c>
      <c r="AW11" s="847"/>
      <c r="AX11" s="847"/>
      <c r="BB11" s="1037"/>
      <c r="BD11" s="1037"/>
    </row>
    <row r="12" spans="1:56" ht="63.75" x14ac:dyDescent="0.25">
      <c r="A12" s="827" t="s">
        <v>2274</v>
      </c>
      <c r="B12" s="518" t="s">
        <v>2272</v>
      </c>
      <c r="C12" s="828">
        <v>18</v>
      </c>
      <c r="D12" s="828">
        <v>42</v>
      </c>
      <c r="E12" s="828">
        <v>20</v>
      </c>
      <c r="F12" s="828">
        <v>10</v>
      </c>
      <c r="G12" s="828">
        <v>18</v>
      </c>
      <c r="H12" s="828">
        <v>42</v>
      </c>
      <c r="I12" s="828">
        <v>20</v>
      </c>
      <c r="J12" s="828"/>
      <c r="K12" s="829">
        <f>IF((G12+J12)/C12&gt;=100%,100%,(G12+J12)/C12)</f>
        <v>1</v>
      </c>
      <c r="L12" s="830">
        <f t="shared" si="6"/>
        <v>1</v>
      </c>
      <c r="M12" s="830">
        <f t="shared" si="6"/>
        <v>1</v>
      </c>
      <c r="N12" s="390" t="s">
        <v>2520</v>
      </c>
      <c r="O12" s="390"/>
      <c r="P12" s="832" t="s">
        <v>75</v>
      </c>
      <c r="Q12" s="832"/>
      <c r="R12" s="832" t="s">
        <v>2521</v>
      </c>
      <c r="S12" s="390" t="s">
        <v>2523</v>
      </c>
      <c r="T12" s="390"/>
      <c r="U12" s="390"/>
      <c r="V12" s="833"/>
      <c r="W12" s="841"/>
      <c r="X12" s="390">
        <v>100</v>
      </c>
      <c r="Y12" s="835">
        <f t="shared" si="7"/>
        <v>80</v>
      </c>
      <c r="Z12" s="836">
        <f>IF(Y12/X12&gt;=100%,100%,Y12/X12)</f>
        <v>0.8</v>
      </c>
      <c r="AA12" s="837">
        <v>0.17</v>
      </c>
      <c r="AB12" s="838">
        <v>0.17</v>
      </c>
      <c r="AC12" s="838">
        <v>0.17</v>
      </c>
      <c r="AD12" s="844">
        <f>+'Anexo 5.2-A. Gastos Rev'!CD8</f>
        <v>5807546884.630002</v>
      </c>
      <c r="AE12" s="848"/>
      <c r="AF12" s="984">
        <v>9359148285</v>
      </c>
      <c r="AG12" s="984">
        <f>+'Anexo 5.2-A. Gastos Rev'!CE8</f>
        <v>5807546884.630002</v>
      </c>
      <c r="AH12" s="837">
        <f t="shared" si="0"/>
        <v>1</v>
      </c>
      <c r="AI12" s="998">
        <f>+'Anexo 5.2-A. Gastos Rev'!CF8</f>
        <v>761540024</v>
      </c>
      <c r="AJ12" s="998">
        <f>+'Anexo 5.2-A. Gastos Rev'!CG8</f>
        <v>761540024</v>
      </c>
      <c r="AK12" s="986">
        <f t="shared" si="1"/>
        <v>0.13112938029229834</v>
      </c>
      <c r="AL12" s="998">
        <f t="shared" si="2"/>
        <v>5046006860.630002</v>
      </c>
      <c r="AM12" s="842"/>
      <c r="AN12" s="842"/>
      <c r="AO12" s="843" t="e">
        <f t="shared" si="3"/>
        <v>#DIV/0!</v>
      </c>
      <c r="AP12" s="849"/>
      <c r="AQ12" s="844">
        <f t="shared" si="4"/>
        <v>15166695169.630001</v>
      </c>
      <c r="AR12" s="845" t="e">
        <f t="shared" si="5"/>
        <v>#DIV/0!</v>
      </c>
      <c r="AS12" s="492"/>
      <c r="AT12" s="494"/>
      <c r="AU12" s="493" t="s">
        <v>91</v>
      </c>
      <c r="AV12" s="846" t="s">
        <v>2273</v>
      </c>
      <c r="AW12" s="847"/>
      <c r="AX12" s="847"/>
      <c r="BB12" s="1037"/>
      <c r="BD12" s="1037"/>
    </row>
    <row r="13" spans="1:56" ht="51" x14ac:dyDescent="0.25">
      <c r="A13" s="827" t="s">
        <v>2275</v>
      </c>
      <c r="B13" s="518" t="s">
        <v>2276</v>
      </c>
      <c r="C13" s="828">
        <v>1</v>
      </c>
      <c r="D13" s="828">
        <v>2</v>
      </c>
      <c r="E13" s="828">
        <v>1</v>
      </c>
      <c r="F13" s="828">
        <v>0</v>
      </c>
      <c r="G13" s="828">
        <v>0</v>
      </c>
      <c r="H13" s="828">
        <v>2</v>
      </c>
      <c r="I13" s="828">
        <v>1</v>
      </c>
      <c r="J13" s="828"/>
      <c r="K13" s="829">
        <f>IF((G13+J13)/C13&gt;=100%,100%,(G13+J13)/C13)</f>
        <v>0</v>
      </c>
      <c r="L13" s="830">
        <f t="shared" si="6"/>
        <v>1</v>
      </c>
      <c r="M13" s="830">
        <f t="shared" si="6"/>
        <v>1</v>
      </c>
      <c r="N13" s="850"/>
      <c r="O13" s="390"/>
      <c r="P13" s="831"/>
      <c r="Q13" s="832"/>
      <c r="R13" s="518"/>
      <c r="S13" s="850"/>
      <c r="T13" s="390"/>
      <c r="U13" s="390"/>
      <c r="V13" s="833"/>
      <c r="W13" s="841"/>
      <c r="X13" s="390">
        <v>5</v>
      </c>
      <c r="Y13" s="835">
        <f t="shared" si="7"/>
        <v>3</v>
      </c>
      <c r="Z13" s="836">
        <f t="shared" ref="Z13:Z92" si="8">IF(Y13/X13&gt;=100%,100%,Y13/X13)</f>
        <v>0.6</v>
      </c>
      <c r="AA13" s="837">
        <v>0.17</v>
      </c>
      <c r="AB13" s="838">
        <v>0.17</v>
      </c>
      <c r="AC13" s="838">
        <v>0.17</v>
      </c>
      <c r="AD13" s="844">
        <f>+'Anexo 5.2-A. Gastos Rev'!CD9</f>
        <v>0</v>
      </c>
      <c r="AE13" s="848"/>
      <c r="AF13" s="984">
        <v>462786872</v>
      </c>
      <c r="AG13" s="984">
        <f>+'Anexo 5.2-A. Gastos Rev'!CE9</f>
        <v>0</v>
      </c>
      <c r="AH13" s="837" t="e">
        <f t="shared" si="0"/>
        <v>#DIV/0!</v>
      </c>
      <c r="AI13" s="998">
        <f>+'Anexo 5.2-A. Gastos Rev'!CF9</f>
        <v>0</v>
      </c>
      <c r="AJ13" s="998">
        <f>+'Anexo 5.2-A. Gastos Rev'!CG9</f>
        <v>0</v>
      </c>
      <c r="AK13" s="986" t="e">
        <f t="shared" si="1"/>
        <v>#DIV/0!</v>
      </c>
      <c r="AL13" s="998">
        <f t="shared" si="2"/>
        <v>0</v>
      </c>
      <c r="AM13" s="842"/>
      <c r="AN13" s="842"/>
      <c r="AO13" s="843" t="e">
        <f t="shared" si="3"/>
        <v>#DIV/0!</v>
      </c>
      <c r="AP13" s="849"/>
      <c r="AQ13" s="844">
        <f t="shared" si="4"/>
        <v>462786872</v>
      </c>
      <c r="AR13" s="845" t="e">
        <f t="shared" si="5"/>
        <v>#DIV/0!</v>
      </c>
      <c r="AS13" s="492"/>
      <c r="AT13" s="494"/>
      <c r="AU13" s="493" t="s">
        <v>91</v>
      </c>
      <c r="AV13" s="846" t="s">
        <v>2277</v>
      </c>
      <c r="AW13" s="847"/>
      <c r="AX13" s="847"/>
      <c r="BB13" s="1037"/>
      <c r="BD13" s="1037"/>
    </row>
    <row r="14" spans="1:56" ht="61.5" customHeight="1" x14ac:dyDescent="0.25">
      <c r="A14" s="827" t="s">
        <v>2278</v>
      </c>
      <c r="B14" s="518" t="s">
        <v>2279</v>
      </c>
      <c r="C14" s="828">
        <v>700</v>
      </c>
      <c r="D14" s="828">
        <v>700</v>
      </c>
      <c r="E14" s="828">
        <v>700</v>
      </c>
      <c r="F14" s="828">
        <v>700</v>
      </c>
      <c r="G14" s="828">
        <v>475</v>
      </c>
      <c r="H14" s="828">
        <v>664</v>
      </c>
      <c r="I14" s="828">
        <v>700</v>
      </c>
      <c r="J14" s="828"/>
      <c r="K14" s="829">
        <f>IF((G14+J14)/C14&gt;=100%,100%,(G14+J14)/C14)</f>
        <v>0.6785714285714286</v>
      </c>
      <c r="L14" s="830">
        <f t="shared" si="6"/>
        <v>0.94857142857142862</v>
      </c>
      <c r="M14" s="830">
        <f t="shared" si="6"/>
        <v>1</v>
      </c>
      <c r="N14" s="390" t="s">
        <v>2524</v>
      </c>
      <c r="O14" s="390"/>
      <c r="P14" s="832" t="s">
        <v>2525</v>
      </c>
      <c r="Q14" s="832" t="s">
        <v>2526</v>
      </c>
      <c r="R14" s="518"/>
      <c r="S14" s="390"/>
      <c r="T14" s="390"/>
      <c r="U14" s="390"/>
      <c r="V14" s="833"/>
      <c r="W14" s="841"/>
      <c r="X14" s="390">
        <v>2800</v>
      </c>
      <c r="Y14" s="835">
        <f t="shared" si="7"/>
        <v>1839</v>
      </c>
      <c r="Z14" s="836">
        <f t="shared" si="8"/>
        <v>0.65678571428571431</v>
      </c>
      <c r="AA14" s="837">
        <v>0.17</v>
      </c>
      <c r="AB14" s="838">
        <v>0.17</v>
      </c>
      <c r="AC14" s="838">
        <v>0.17</v>
      </c>
      <c r="AD14" s="844">
        <f>+'Anexo 5.2-A. Gastos Rev'!CD10</f>
        <v>0</v>
      </c>
      <c r="AE14" s="848"/>
      <c r="AF14" s="984">
        <v>0</v>
      </c>
      <c r="AG14" s="984">
        <f>+'Anexo 5.2-A. Gastos Rev'!CE10</f>
        <v>0</v>
      </c>
      <c r="AH14" s="837" t="e">
        <f t="shared" si="0"/>
        <v>#DIV/0!</v>
      </c>
      <c r="AI14" s="998">
        <f>+'Anexo 5.2-A. Gastos Rev'!CF10</f>
        <v>0</v>
      </c>
      <c r="AJ14" s="998">
        <f>+'Anexo 5.2-A. Gastos Rev'!CG10</f>
        <v>0</v>
      </c>
      <c r="AK14" s="986" t="e">
        <f t="shared" si="1"/>
        <v>#DIV/0!</v>
      </c>
      <c r="AL14" s="998">
        <f>+AG14-AI14</f>
        <v>0</v>
      </c>
      <c r="AM14" s="842"/>
      <c r="AN14" s="842"/>
      <c r="AO14" s="843" t="e">
        <f t="shared" si="3"/>
        <v>#DIV/0!</v>
      </c>
      <c r="AP14" s="849"/>
      <c r="AQ14" s="844">
        <f t="shared" si="4"/>
        <v>0</v>
      </c>
      <c r="AR14" s="845" t="e">
        <f t="shared" si="5"/>
        <v>#DIV/0!</v>
      </c>
      <c r="AS14" s="492"/>
      <c r="AT14" s="494"/>
      <c r="AU14" s="493" t="s">
        <v>91</v>
      </c>
      <c r="AV14" s="846" t="s">
        <v>2277</v>
      </c>
      <c r="AW14" s="847"/>
      <c r="AX14" s="847"/>
      <c r="BB14" s="1037"/>
      <c r="BD14" s="1037"/>
    </row>
    <row r="15" spans="1:56" ht="82.5" x14ac:dyDescent="0.3">
      <c r="A15" s="827" t="s">
        <v>2280</v>
      </c>
      <c r="B15" s="518" t="s">
        <v>2281</v>
      </c>
      <c r="C15" s="851">
        <v>0.4</v>
      </c>
      <c r="D15" s="851">
        <v>0.4</v>
      </c>
      <c r="E15" s="837">
        <v>0.1</v>
      </c>
      <c r="F15" s="851">
        <v>0.1</v>
      </c>
      <c r="G15" s="851">
        <v>0.4</v>
      </c>
      <c r="H15" s="851">
        <v>0.4</v>
      </c>
      <c r="I15" s="851">
        <v>0.1</v>
      </c>
      <c r="J15" s="828"/>
      <c r="K15" s="829">
        <f>IF((G15+J15)/C15&gt;=100%,100%,(G15+J15)/C15)</f>
        <v>1</v>
      </c>
      <c r="L15" s="830">
        <f t="shared" si="6"/>
        <v>1</v>
      </c>
      <c r="M15" s="830">
        <f t="shared" si="6"/>
        <v>1</v>
      </c>
      <c r="N15" s="1019" t="s">
        <v>2527</v>
      </c>
      <c r="O15" s="390"/>
      <c r="P15" s="832"/>
      <c r="Q15" s="832"/>
      <c r="R15" s="518"/>
      <c r="S15" s="390"/>
      <c r="T15" s="390"/>
      <c r="U15" s="390"/>
      <c r="V15" s="833"/>
      <c r="W15" s="841"/>
      <c r="X15" s="852">
        <v>1</v>
      </c>
      <c r="Y15" s="853">
        <f t="shared" si="7"/>
        <v>0.9</v>
      </c>
      <c r="Z15" s="836">
        <f t="shared" si="8"/>
        <v>0.9</v>
      </c>
      <c r="AA15" s="837">
        <v>0.16</v>
      </c>
      <c r="AB15" s="838">
        <v>0.16</v>
      </c>
      <c r="AC15" s="838">
        <v>0.16</v>
      </c>
      <c r="AD15" s="844">
        <f>+'Anexo 5.2-A. Gastos Rev'!CD11</f>
        <v>1927956430.3100004</v>
      </c>
      <c r="AE15" s="848"/>
      <c r="AF15" s="984">
        <v>251000000</v>
      </c>
      <c r="AG15" s="984">
        <f>+'Anexo 5.2-A. Gastos Rev'!CE11</f>
        <v>1927956430.3100004</v>
      </c>
      <c r="AH15" s="837">
        <f t="shared" si="0"/>
        <v>1</v>
      </c>
      <c r="AI15" s="998">
        <f>+'Anexo 5.2-A. Gastos Rev'!CF11</f>
        <v>1927956430.3099999</v>
      </c>
      <c r="AJ15" s="998">
        <f>+'Anexo 5.2-A. Gastos Rev'!CG11</f>
        <v>1850858567.51</v>
      </c>
      <c r="AK15" s="986">
        <f t="shared" si="1"/>
        <v>0.99999999999999978</v>
      </c>
      <c r="AL15" s="998">
        <f t="shared" si="2"/>
        <v>0</v>
      </c>
      <c r="AM15" s="842"/>
      <c r="AN15" s="842"/>
      <c r="AO15" s="843" t="e">
        <f t="shared" si="3"/>
        <v>#DIV/0!</v>
      </c>
      <c r="AP15" s="849"/>
      <c r="AQ15" s="844">
        <f t="shared" si="4"/>
        <v>2178956430.3100004</v>
      </c>
      <c r="AR15" s="845" t="e">
        <f t="shared" si="5"/>
        <v>#DIV/0!</v>
      </c>
      <c r="AS15" s="492"/>
      <c r="AT15" s="494"/>
      <c r="AU15" s="493" t="s">
        <v>114</v>
      </c>
      <c r="AV15" s="846" t="s">
        <v>2277</v>
      </c>
      <c r="AW15" s="847"/>
      <c r="AX15" s="847"/>
      <c r="BB15" s="1037"/>
      <c r="BD15" s="1037"/>
    </row>
    <row r="16" spans="1:56" ht="51" x14ac:dyDescent="0.25">
      <c r="A16" s="827" t="s">
        <v>2282</v>
      </c>
      <c r="B16" s="518" t="s">
        <v>2283</v>
      </c>
      <c r="C16" s="828">
        <v>0</v>
      </c>
      <c r="D16" s="828">
        <v>1</v>
      </c>
      <c r="E16" s="828">
        <v>1</v>
      </c>
      <c r="F16" s="828">
        <v>0</v>
      </c>
      <c r="G16" s="828">
        <v>0</v>
      </c>
      <c r="H16" s="828">
        <v>1</v>
      </c>
      <c r="I16" s="828">
        <v>1</v>
      </c>
      <c r="J16" s="828"/>
      <c r="K16" s="829">
        <v>0</v>
      </c>
      <c r="L16" s="830">
        <f t="shared" si="6"/>
        <v>1</v>
      </c>
      <c r="M16" s="830">
        <f t="shared" si="6"/>
        <v>1</v>
      </c>
      <c r="N16" s="390" t="s">
        <v>2528</v>
      </c>
      <c r="O16" s="390"/>
      <c r="P16" s="832" t="s">
        <v>75</v>
      </c>
      <c r="Q16" s="832"/>
      <c r="R16" s="832" t="s">
        <v>2521</v>
      </c>
      <c r="S16" s="390" t="s">
        <v>2529</v>
      </c>
      <c r="T16" s="390"/>
      <c r="U16" s="390"/>
      <c r="V16" s="833"/>
      <c r="W16" s="841"/>
      <c r="X16" s="390">
        <v>2</v>
      </c>
      <c r="Y16" s="835">
        <f t="shared" si="7"/>
        <v>2</v>
      </c>
      <c r="Z16" s="836">
        <f t="shared" si="8"/>
        <v>1</v>
      </c>
      <c r="AA16" s="837">
        <v>0.16</v>
      </c>
      <c r="AB16" s="838">
        <v>0.16</v>
      </c>
      <c r="AC16" s="838">
        <v>0.16</v>
      </c>
      <c r="AD16" s="844">
        <f>+'Anexo 5.2-A. Gastos Rev'!CD12</f>
        <v>0</v>
      </c>
      <c r="AE16" s="848"/>
      <c r="AF16" s="984">
        <v>252004346</v>
      </c>
      <c r="AG16" s="984">
        <f>+'Anexo 5.2-A. Gastos Rev'!CE12</f>
        <v>0</v>
      </c>
      <c r="AH16" s="837" t="e">
        <f t="shared" si="0"/>
        <v>#DIV/0!</v>
      </c>
      <c r="AI16" s="998">
        <f>+'Anexo 5.2-A. Gastos Rev'!CF12</f>
        <v>0</v>
      </c>
      <c r="AJ16" s="998">
        <f>+'Anexo 5.2-A. Gastos Rev'!CG12</f>
        <v>0</v>
      </c>
      <c r="AK16" s="986" t="e">
        <f t="shared" si="1"/>
        <v>#DIV/0!</v>
      </c>
      <c r="AL16" s="998">
        <f t="shared" si="2"/>
        <v>0</v>
      </c>
      <c r="AM16" s="842"/>
      <c r="AN16" s="842"/>
      <c r="AO16" s="843" t="e">
        <f t="shared" si="3"/>
        <v>#DIV/0!</v>
      </c>
      <c r="AP16" s="849"/>
      <c r="AQ16" s="844">
        <f t="shared" si="4"/>
        <v>252004346</v>
      </c>
      <c r="AR16" s="845" t="e">
        <f t="shared" si="5"/>
        <v>#DIV/0!</v>
      </c>
      <c r="AS16" s="492"/>
      <c r="AT16" s="494"/>
      <c r="AU16" s="493" t="s">
        <v>91</v>
      </c>
      <c r="AV16" s="846" t="s">
        <v>2277</v>
      </c>
      <c r="AW16" s="847"/>
      <c r="AX16" s="847"/>
      <c r="BB16" s="1037"/>
      <c r="BD16" s="1037"/>
    </row>
    <row r="17" spans="1:56" ht="25.5" x14ac:dyDescent="0.25">
      <c r="A17" s="806" t="s">
        <v>2153</v>
      </c>
      <c r="B17" s="807"/>
      <c r="C17" s="808"/>
      <c r="D17" s="808"/>
      <c r="E17" s="808"/>
      <c r="F17" s="808"/>
      <c r="G17" s="808"/>
      <c r="H17" s="808"/>
      <c r="I17" s="808"/>
      <c r="J17" s="808"/>
      <c r="K17" s="809">
        <f>+(K18*AA18)+(K19*AA19)+(K20*AA20)</f>
        <v>1</v>
      </c>
      <c r="L17" s="810">
        <f>+(L18*AB18)+(L19*AB19)+(L20*AB20)</f>
        <v>1</v>
      </c>
      <c r="M17" s="810">
        <f>+(M18*AC18)+(M19*AC19)+(M20*AC20)</f>
        <v>0.67</v>
      </c>
      <c r="N17" s="854"/>
      <c r="O17" s="854"/>
      <c r="P17" s="811"/>
      <c r="Q17" s="812"/>
      <c r="R17" s="812"/>
      <c r="S17" s="854"/>
      <c r="T17" s="854"/>
      <c r="U17" s="854"/>
      <c r="V17" s="855"/>
      <c r="W17" s="854"/>
      <c r="X17" s="854"/>
      <c r="Y17" s="812"/>
      <c r="Z17" s="814">
        <f>+(Z18*AA18)+(Z19*AA19)+(Z20*AA20)</f>
        <v>0.81040000000000001</v>
      </c>
      <c r="AA17" s="815">
        <v>0.38</v>
      </c>
      <c r="AB17" s="809">
        <v>0.38</v>
      </c>
      <c r="AC17" s="809">
        <v>0.38</v>
      </c>
      <c r="AD17" s="856">
        <f>+'Anexo 5.2-A. Gastos Rev'!CD13</f>
        <v>14263000000</v>
      </c>
      <c r="AE17" s="857">
        <v>6822586983.8500004</v>
      </c>
      <c r="AF17" s="858">
        <f>+SUM(AF18:AF20)</f>
        <v>3499944000</v>
      </c>
      <c r="AG17" s="858">
        <f>+'Anexo 5.2-A. Gastos Rev'!CE13</f>
        <v>14258232151.76</v>
      </c>
      <c r="AH17" s="818">
        <f t="shared" si="0"/>
        <v>0.99966571911659541</v>
      </c>
      <c r="AI17" s="858">
        <f>+'Anexo 5.2-A. Gastos Rev'!CF13</f>
        <v>2124909576</v>
      </c>
      <c r="AJ17" s="858">
        <f>+'Anexo 5.2-A. Gastos Rev'!CG13</f>
        <v>2124909576</v>
      </c>
      <c r="AK17" s="859">
        <f t="shared" si="1"/>
        <v>0.1490303673964031</v>
      </c>
      <c r="AL17" s="858">
        <f t="shared" si="2"/>
        <v>12133322575.76</v>
      </c>
      <c r="AM17" s="858">
        <f>+SUM(AM18:AM20)</f>
        <v>0</v>
      </c>
      <c r="AN17" s="858">
        <f>+SUM(AN18:AN20)</f>
        <v>0</v>
      </c>
      <c r="AO17" s="820" t="e">
        <f t="shared" si="3"/>
        <v>#DIV/0!</v>
      </c>
      <c r="AP17" s="858">
        <v>18770000000</v>
      </c>
      <c r="AQ17" s="860">
        <f t="shared" si="4"/>
        <v>24580763135.610001</v>
      </c>
      <c r="AR17" s="1209">
        <f t="shared" si="5"/>
        <v>1.3095771516041557</v>
      </c>
      <c r="AS17" s="861"/>
      <c r="AT17" s="823"/>
      <c r="AU17" s="824"/>
      <c r="AV17" s="825"/>
      <c r="AW17" s="826"/>
      <c r="AX17" s="826"/>
      <c r="BB17" s="1037"/>
      <c r="BD17" s="1037"/>
    </row>
    <row r="18" spans="1:56" ht="51" x14ac:dyDescent="0.25">
      <c r="A18" s="827" t="s">
        <v>2284</v>
      </c>
      <c r="B18" s="518" t="s">
        <v>2272</v>
      </c>
      <c r="C18" s="828">
        <v>10</v>
      </c>
      <c r="D18" s="828">
        <v>10</v>
      </c>
      <c r="E18" s="828">
        <v>4</v>
      </c>
      <c r="F18" s="828">
        <v>1</v>
      </c>
      <c r="G18" s="828">
        <v>10</v>
      </c>
      <c r="H18" s="828">
        <v>10</v>
      </c>
      <c r="I18" s="828">
        <v>4</v>
      </c>
      <c r="J18" s="828"/>
      <c r="K18" s="838">
        <f>IF((G18+J18)/C18&gt;=100%,100%,(G18+J18)/C18)</f>
        <v>1</v>
      </c>
      <c r="L18" s="830">
        <f t="shared" ref="L18:M20" si="9">IF(H18/D18&gt;=100%,100%,H18/D18)</f>
        <v>1</v>
      </c>
      <c r="M18" s="830">
        <f t="shared" si="9"/>
        <v>1</v>
      </c>
      <c r="N18" s="391" t="s">
        <v>2530</v>
      </c>
      <c r="O18" s="391"/>
      <c r="P18" s="832" t="s">
        <v>75</v>
      </c>
      <c r="Q18" s="832"/>
      <c r="R18" s="832" t="s">
        <v>2521</v>
      </c>
      <c r="S18" s="391" t="s">
        <v>2531</v>
      </c>
      <c r="T18" s="391"/>
      <c r="U18" s="391"/>
      <c r="V18" s="833"/>
      <c r="W18" s="391"/>
      <c r="X18" s="391">
        <v>25</v>
      </c>
      <c r="Y18" s="835">
        <f>SUM(G18:I18)</f>
        <v>24</v>
      </c>
      <c r="Z18" s="836">
        <f t="shared" ref="Z18:Z20" si="10">IF(Y18/X18&gt;=100%,100%,Y18/X18)</f>
        <v>0.96</v>
      </c>
      <c r="AA18" s="837">
        <v>0.34</v>
      </c>
      <c r="AB18" s="838">
        <v>0.34</v>
      </c>
      <c r="AC18" s="838">
        <v>0.34</v>
      </c>
      <c r="AD18" s="866">
        <f>+'Anexo 5.2-A. Gastos Rev'!CD14</f>
        <v>14163000000</v>
      </c>
      <c r="AE18" s="863"/>
      <c r="AF18" s="985">
        <v>3499944000</v>
      </c>
      <c r="AG18" s="985">
        <f>+'Anexo 5.2-A. Gastos Rev'!CE14</f>
        <v>14163000000</v>
      </c>
      <c r="AH18" s="837">
        <f t="shared" si="0"/>
        <v>1</v>
      </c>
      <c r="AI18" s="865">
        <f>+'Anexo 5.2-A. Gastos Rev'!CF14</f>
        <v>2124909576.1400001</v>
      </c>
      <c r="AJ18" s="865">
        <f>+'Anexo 5.2-A. Gastos Rev'!CG14</f>
        <v>2124909576.1400001</v>
      </c>
      <c r="AK18" s="999">
        <f t="shared" si="1"/>
        <v>0.15003244906728802</v>
      </c>
      <c r="AL18" s="1000">
        <f t="shared" si="2"/>
        <v>12038090423.860001</v>
      </c>
      <c r="AM18" s="865"/>
      <c r="AN18" s="865"/>
      <c r="AO18" s="843" t="e">
        <f t="shared" si="3"/>
        <v>#DIV/0!</v>
      </c>
      <c r="AP18" s="864"/>
      <c r="AQ18" s="866">
        <f t="shared" si="4"/>
        <v>17662944000</v>
      </c>
      <c r="AR18" s="867" t="e">
        <f t="shared" si="5"/>
        <v>#DIV/0!</v>
      </c>
      <c r="AS18" s="868"/>
      <c r="AT18" s="494"/>
      <c r="AU18" s="493" t="s">
        <v>91</v>
      </c>
      <c r="AV18" s="846" t="s">
        <v>2273</v>
      </c>
      <c r="AW18" s="847"/>
      <c r="AX18" s="847"/>
      <c r="BB18" s="1037"/>
      <c r="BD18" s="1037"/>
    </row>
    <row r="19" spans="1:56" ht="51.75" thickBot="1" x14ac:dyDescent="0.3">
      <c r="A19" s="827" t="s">
        <v>2285</v>
      </c>
      <c r="B19" s="518" t="s">
        <v>2286</v>
      </c>
      <c r="C19" s="851">
        <v>0.25</v>
      </c>
      <c r="D19" s="851">
        <v>0.25</v>
      </c>
      <c r="E19" s="851">
        <v>0.3</v>
      </c>
      <c r="F19" s="851">
        <v>0.2</v>
      </c>
      <c r="G19" s="851">
        <v>0.25</v>
      </c>
      <c r="H19" s="851">
        <v>0.25</v>
      </c>
      <c r="I19" s="851">
        <v>0.3</v>
      </c>
      <c r="J19" s="828"/>
      <c r="K19" s="838">
        <f>IF((G19+J19)/C19&gt;=100%,100%,(G19+J19)/C19)</f>
        <v>1</v>
      </c>
      <c r="L19" s="830">
        <f t="shared" si="9"/>
        <v>1</v>
      </c>
      <c r="M19" s="830">
        <f t="shared" si="9"/>
        <v>1</v>
      </c>
      <c r="N19" s="1020" t="s">
        <v>2532</v>
      </c>
      <c r="O19" s="869"/>
      <c r="P19" s="831"/>
      <c r="Q19" s="832"/>
      <c r="R19" s="518"/>
      <c r="S19" s="835"/>
      <c r="T19" s="869"/>
      <c r="U19" s="869"/>
      <c r="V19" s="833"/>
      <c r="W19" s="390"/>
      <c r="X19" s="853">
        <v>1</v>
      </c>
      <c r="Y19" s="853">
        <f>SUM(G19:I19)</f>
        <v>0.8</v>
      </c>
      <c r="Z19" s="836">
        <f t="shared" si="10"/>
        <v>0.8</v>
      </c>
      <c r="AA19" s="837">
        <v>0.33</v>
      </c>
      <c r="AB19" s="838">
        <v>0.33</v>
      </c>
      <c r="AC19" s="838">
        <v>0.33</v>
      </c>
      <c r="AD19" s="866">
        <f>+'Anexo 5.2-A. Gastos Rev'!CD15</f>
        <v>0</v>
      </c>
      <c r="AE19" s="848"/>
      <c r="AF19" s="849">
        <v>0</v>
      </c>
      <c r="AG19" s="849">
        <f>+'Anexo 5.2-A. Gastos Rev'!CE15</f>
        <v>0</v>
      </c>
      <c r="AH19" s="837" t="e">
        <f t="shared" si="0"/>
        <v>#DIV/0!</v>
      </c>
      <c r="AI19" s="842">
        <f>+'Anexo 5.2-A. Gastos Rev'!CF15</f>
        <v>0</v>
      </c>
      <c r="AJ19" s="842">
        <f>+'Anexo 5.2-A. Gastos Rev'!CG15</f>
        <v>0</v>
      </c>
      <c r="AK19" s="988" t="e">
        <f t="shared" si="1"/>
        <v>#DIV/0!</v>
      </c>
      <c r="AL19" s="998">
        <f t="shared" si="2"/>
        <v>0</v>
      </c>
      <c r="AM19" s="842"/>
      <c r="AN19" s="842"/>
      <c r="AO19" s="870" t="e">
        <f t="shared" si="3"/>
        <v>#DIV/0!</v>
      </c>
      <c r="AP19" s="849"/>
      <c r="AQ19" s="844">
        <f t="shared" si="4"/>
        <v>0</v>
      </c>
      <c r="AR19" s="835" t="e">
        <f t="shared" si="5"/>
        <v>#DIV/0!</v>
      </c>
      <c r="AS19" s="871"/>
      <c r="AT19" s="494"/>
      <c r="AU19" s="493" t="s">
        <v>91</v>
      </c>
      <c r="AV19" s="846" t="s">
        <v>2287</v>
      </c>
      <c r="AW19" s="847"/>
      <c r="AX19" s="847"/>
      <c r="BB19" s="1037"/>
      <c r="BD19" s="1037"/>
    </row>
    <row r="20" spans="1:56" ht="38.25" x14ac:dyDescent="0.25">
      <c r="A20" s="827" t="s">
        <v>2288</v>
      </c>
      <c r="B20" s="518" t="s">
        <v>2289</v>
      </c>
      <c r="C20" s="828">
        <v>1</v>
      </c>
      <c r="D20" s="828">
        <v>1</v>
      </c>
      <c r="E20" s="828">
        <v>1</v>
      </c>
      <c r="F20" s="828"/>
      <c r="G20" s="828">
        <v>1</v>
      </c>
      <c r="H20" s="828">
        <v>1</v>
      </c>
      <c r="I20" s="828">
        <v>0</v>
      </c>
      <c r="J20" s="828"/>
      <c r="K20" s="838">
        <f>IF((G20+J20)/C20&gt;=100%,100%,(G20+J20)/C20)</f>
        <v>1</v>
      </c>
      <c r="L20" s="830">
        <f t="shared" si="9"/>
        <v>1</v>
      </c>
      <c r="M20" s="830">
        <f t="shared" si="9"/>
        <v>0</v>
      </c>
      <c r="N20" s="872"/>
      <c r="O20" s="873"/>
      <c r="P20" s="831"/>
      <c r="Q20" s="832"/>
      <c r="R20" s="518"/>
      <c r="S20" s="872"/>
      <c r="T20" s="873"/>
      <c r="U20" s="873"/>
      <c r="V20" s="833"/>
      <c r="W20" s="872"/>
      <c r="X20" s="872">
        <v>3</v>
      </c>
      <c r="Y20" s="835">
        <f>SUM(G20:I20)</f>
        <v>2</v>
      </c>
      <c r="Z20" s="836">
        <f t="shared" si="10"/>
        <v>0.66666666666666663</v>
      </c>
      <c r="AA20" s="837">
        <v>0.33</v>
      </c>
      <c r="AB20" s="838">
        <v>0.33</v>
      </c>
      <c r="AC20" s="838">
        <v>0.33</v>
      </c>
      <c r="AD20" s="866">
        <f>+'Anexo 5.2-A. Gastos Rev'!CD16</f>
        <v>100000000</v>
      </c>
      <c r="AE20" s="875"/>
      <c r="AF20" s="874">
        <v>0</v>
      </c>
      <c r="AG20" s="1021">
        <f>+'Anexo 5.2-A. Gastos Rev'!CE16</f>
        <v>95232151.760000005</v>
      </c>
      <c r="AH20" s="955">
        <f t="shared" si="0"/>
        <v>0.95232151760000006</v>
      </c>
      <c r="AI20" s="877">
        <f>+'Anexo 5.2-A. Gastos Rev'!CF16</f>
        <v>0</v>
      </c>
      <c r="AJ20" s="877">
        <f>+'Anexo 5.2-A. Gastos Rev'!CG16</f>
        <v>0</v>
      </c>
      <c r="AK20" s="989">
        <f t="shared" si="1"/>
        <v>0</v>
      </c>
      <c r="AL20" s="1022">
        <f t="shared" si="2"/>
        <v>95232151.760000005</v>
      </c>
      <c r="AM20" s="877"/>
      <c r="AN20" s="877"/>
      <c r="AO20" s="843" t="e">
        <f t="shared" si="3"/>
        <v>#DIV/0!</v>
      </c>
      <c r="AP20" s="874"/>
      <c r="AQ20" s="879">
        <f t="shared" si="4"/>
        <v>95232151.760000005</v>
      </c>
      <c r="AR20" s="878" t="e">
        <f t="shared" si="5"/>
        <v>#DIV/0!</v>
      </c>
      <c r="AS20" s="880"/>
      <c r="AT20" s="494"/>
      <c r="AU20" s="493" t="s">
        <v>116</v>
      </c>
      <c r="AV20" s="846" t="s">
        <v>2277</v>
      </c>
      <c r="AW20" s="847"/>
      <c r="AX20" s="847"/>
      <c r="BB20" s="1037"/>
      <c r="BD20" s="1037"/>
    </row>
    <row r="21" spans="1:56" x14ac:dyDescent="0.25">
      <c r="A21" s="806" t="s">
        <v>2154</v>
      </c>
      <c r="B21" s="807"/>
      <c r="C21" s="808"/>
      <c r="D21" s="808"/>
      <c r="E21" s="808"/>
      <c r="F21" s="808"/>
      <c r="G21" s="808"/>
      <c r="H21" s="808"/>
      <c r="I21" s="808"/>
      <c r="J21" s="808"/>
      <c r="K21" s="809">
        <f>+(K22*AA22)+(K23*AA23)</f>
        <v>0</v>
      </c>
      <c r="L21" s="810">
        <f>+(L22*AB22)+(L23*AB23)</f>
        <v>0</v>
      </c>
      <c r="M21" s="810">
        <f>+(M22*AC22)+(M23*AC23)</f>
        <v>1</v>
      </c>
      <c r="N21" s="854"/>
      <c r="O21" s="854"/>
      <c r="P21" s="811"/>
      <c r="Q21" s="812"/>
      <c r="R21" s="812"/>
      <c r="S21" s="854"/>
      <c r="T21" s="854"/>
      <c r="U21" s="854"/>
      <c r="V21" s="855"/>
      <c r="W21" s="854"/>
      <c r="X21" s="854"/>
      <c r="Y21" s="812"/>
      <c r="Z21" s="814">
        <f>+(Z22*AA22)+(Z23*AA23)</f>
        <v>0.66666666666666663</v>
      </c>
      <c r="AA21" s="815">
        <v>0.24</v>
      </c>
      <c r="AB21" s="809">
        <v>0.24</v>
      </c>
      <c r="AC21" s="809">
        <v>0.24</v>
      </c>
      <c r="AD21" s="856">
        <f>+'Anexo 5.2-A. Gastos Rev'!CD17</f>
        <v>813000000</v>
      </c>
      <c r="AE21" s="857">
        <v>0</v>
      </c>
      <c r="AF21" s="858">
        <f>+AF22+AF23</f>
        <v>0</v>
      </c>
      <c r="AG21" s="858">
        <f>+'Anexo 5.2-A. Gastos Rev'!CE17</f>
        <v>808256787.89999998</v>
      </c>
      <c r="AH21" s="818">
        <f t="shared" si="0"/>
        <v>0.99416579077490774</v>
      </c>
      <c r="AI21" s="858">
        <f>+'Anexo 5.2-A. Gastos Rev'!CF17</f>
        <v>0</v>
      </c>
      <c r="AJ21" s="858">
        <f>+'Anexo 5.2-A. Gastos Rev'!CG17</f>
        <v>0</v>
      </c>
      <c r="AK21" s="990">
        <f t="shared" si="1"/>
        <v>0</v>
      </c>
      <c r="AL21" s="858">
        <f t="shared" si="2"/>
        <v>808256787.89999998</v>
      </c>
      <c r="AM21" s="858">
        <f t="shared" ref="AM21:AN21" si="11">+AM22+AM23</f>
        <v>0</v>
      </c>
      <c r="AN21" s="858">
        <f t="shared" si="11"/>
        <v>0</v>
      </c>
      <c r="AO21" s="820" t="e">
        <f t="shared" si="3"/>
        <v>#DIV/0!</v>
      </c>
      <c r="AP21" s="858">
        <v>3400000000</v>
      </c>
      <c r="AQ21" s="860">
        <f t="shared" si="4"/>
        <v>808256787.89999998</v>
      </c>
      <c r="AR21" s="881">
        <f t="shared" si="5"/>
        <v>0.23772258467647059</v>
      </c>
      <c r="AS21" s="861"/>
      <c r="AT21" s="823"/>
      <c r="AU21" s="824"/>
      <c r="AV21" s="825"/>
      <c r="AW21" s="826"/>
      <c r="AX21" s="826"/>
      <c r="BB21" s="1037"/>
      <c r="BD21" s="1037"/>
    </row>
    <row r="22" spans="1:56" ht="63.75" x14ac:dyDescent="0.25">
      <c r="A22" s="827" t="s">
        <v>2290</v>
      </c>
      <c r="B22" s="518" t="s">
        <v>2291</v>
      </c>
      <c r="C22" s="828">
        <v>1</v>
      </c>
      <c r="D22" s="828">
        <v>1</v>
      </c>
      <c r="E22" s="828">
        <v>1</v>
      </c>
      <c r="F22" s="828"/>
      <c r="G22" s="828">
        <v>0</v>
      </c>
      <c r="H22" s="828">
        <v>0</v>
      </c>
      <c r="I22" s="828">
        <v>1</v>
      </c>
      <c r="J22" s="828"/>
      <c r="K22" s="838">
        <f>IF((G22+J22)/C22&gt;=100%,100%,(G22+J22)/C22)</f>
        <v>0</v>
      </c>
      <c r="L22" s="830">
        <f>IF(H22/D22&gt;=100%,100%,H22/D22)</f>
        <v>0</v>
      </c>
      <c r="M22" s="830">
        <f>IF(I22/E22&gt;=100%,100%,I22/E22)</f>
        <v>1</v>
      </c>
      <c r="N22" s="391"/>
      <c r="O22" s="391"/>
      <c r="P22" s="831"/>
      <c r="Q22" s="832"/>
      <c r="R22" s="518"/>
      <c r="S22" s="391"/>
      <c r="T22" s="391"/>
      <c r="U22" s="391"/>
      <c r="V22" s="833"/>
      <c r="W22" s="391"/>
      <c r="X22" s="391">
        <v>3</v>
      </c>
      <c r="Y22" s="835">
        <f>SUM(G22:I22)</f>
        <v>1</v>
      </c>
      <c r="Z22" s="836">
        <f t="shared" ref="Z22:Z23" si="12">IF(Y22/X22&gt;=100%,100%,Y22/X22)</f>
        <v>0.33333333333333331</v>
      </c>
      <c r="AA22" s="837">
        <v>0.5</v>
      </c>
      <c r="AB22" s="838">
        <v>1</v>
      </c>
      <c r="AC22" s="838">
        <v>1</v>
      </c>
      <c r="AD22" s="866">
        <f>+'Anexo 5.2-A. Gastos Rev'!CD18</f>
        <v>406500000</v>
      </c>
      <c r="AE22" s="863"/>
      <c r="AF22" s="864">
        <v>0</v>
      </c>
      <c r="AG22" s="864">
        <f>+'Anexo 5.2-A. Gastos Rev'!CE18</f>
        <v>404128393.94999999</v>
      </c>
      <c r="AH22" s="837">
        <f t="shared" si="0"/>
        <v>0.99416579077490774</v>
      </c>
      <c r="AI22" s="865">
        <f>+'Anexo 5.2-A. Gastos Rev'!CF18</f>
        <v>0</v>
      </c>
      <c r="AJ22" s="865">
        <f>+'Anexo 5.2-A. Gastos Rev'!CG18</f>
        <v>0</v>
      </c>
      <c r="AK22" s="987">
        <f t="shared" si="1"/>
        <v>0</v>
      </c>
      <c r="AL22" s="865">
        <f t="shared" si="2"/>
        <v>404128393.94999999</v>
      </c>
      <c r="AM22" s="865"/>
      <c r="AN22" s="865"/>
      <c r="AO22" s="843" t="e">
        <f t="shared" si="3"/>
        <v>#DIV/0!</v>
      </c>
      <c r="AP22" s="864"/>
      <c r="AQ22" s="866">
        <f t="shared" si="4"/>
        <v>404128393.94999999</v>
      </c>
      <c r="AR22" s="867" t="e">
        <f t="shared" si="5"/>
        <v>#DIV/0!</v>
      </c>
      <c r="AS22" s="868"/>
      <c r="AT22" s="494"/>
      <c r="AU22" s="493" t="s">
        <v>91</v>
      </c>
      <c r="AV22" s="846" t="s">
        <v>2292</v>
      </c>
      <c r="AW22" s="847"/>
      <c r="AX22" s="847"/>
      <c r="BB22" s="1037"/>
      <c r="BD22" s="1037"/>
    </row>
    <row r="23" spans="1:56" ht="63.75" x14ac:dyDescent="0.25">
      <c r="A23" s="827" t="s">
        <v>2293</v>
      </c>
      <c r="B23" s="518" t="s">
        <v>2291</v>
      </c>
      <c r="C23" s="828">
        <v>0</v>
      </c>
      <c r="D23" s="828">
        <v>0</v>
      </c>
      <c r="E23" s="828">
        <v>1</v>
      </c>
      <c r="F23" s="828">
        <v>0</v>
      </c>
      <c r="G23" s="828">
        <v>0</v>
      </c>
      <c r="H23" s="828">
        <v>0</v>
      </c>
      <c r="I23" s="828">
        <v>1</v>
      </c>
      <c r="J23" s="828"/>
      <c r="K23" s="838">
        <v>0</v>
      </c>
      <c r="L23" s="830">
        <v>0</v>
      </c>
      <c r="M23" s="830">
        <f>IF(I23/E23&gt;=100%,100%,I23/E23)</f>
        <v>1</v>
      </c>
      <c r="N23" s="390"/>
      <c r="O23" s="390"/>
      <c r="P23" s="831"/>
      <c r="Q23" s="832"/>
      <c r="R23" s="518"/>
      <c r="S23" s="390"/>
      <c r="T23" s="390"/>
      <c r="U23" s="390"/>
      <c r="V23" s="833"/>
      <c r="W23" s="390"/>
      <c r="X23" s="835">
        <v>1</v>
      </c>
      <c r="Y23" s="835">
        <f>SUM(G23:I23)</f>
        <v>1</v>
      </c>
      <c r="Z23" s="836">
        <f t="shared" si="12"/>
        <v>1</v>
      </c>
      <c r="AA23" s="837">
        <v>0.5</v>
      </c>
      <c r="AB23" s="838">
        <v>0</v>
      </c>
      <c r="AC23" s="838">
        <v>0</v>
      </c>
      <c r="AD23" s="844">
        <f>+'Anexo 5.2-A. Gastos Rev'!CD19</f>
        <v>406500000</v>
      </c>
      <c r="AE23" s="848"/>
      <c r="AF23" s="849">
        <v>0</v>
      </c>
      <c r="AG23" s="849">
        <f>+'Anexo 5.2-A. Gastos Rev'!CE19</f>
        <v>404128393.94999999</v>
      </c>
      <c r="AH23" s="837">
        <f t="shared" si="0"/>
        <v>0.99416579077490774</v>
      </c>
      <c r="AI23" s="842">
        <f>+'Anexo 5.2-A. Gastos Rev'!CF19</f>
        <v>0</v>
      </c>
      <c r="AJ23" s="842">
        <f>+'Anexo 5.2-A. Gastos Rev'!CG19</f>
        <v>0</v>
      </c>
      <c r="AK23" s="988">
        <f t="shared" si="1"/>
        <v>0</v>
      </c>
      <c r="AL23" s="842">
        <f t="shared" si="2"/>
        <v>404128393.94999999</v>
      </c>
      <c r="AM23" s="842"/>
      <c r="AN23" s="842"/>
      <c r="AO23" s="870" t="e">
        <f t="shared" si="3"/>
        <v>#DIV/0!</v>
      </c>
      <c r="AP23" s="849"/>
      <c r="AQ23" s="844">
        <f t="shared" si="4"/>
        <v>404128393.94999999</v>
      </c>
      <c r="AR23" s="835" t="e">
        <f t="shared" si="5"/>
        <v>#DIV/0!</v>
      </c>
      <c r="AS23" s="871"/>
      <c r="AT23" s="494"/>
      <c r="AU23" s="493" t="s">
        <v>91</v>
      </c>
      <c r="AV23" s="846" t="s">
        <v>2292</v>
      </c>
      <c r="AW23" s="847"/>
      <c r="AX23" s="847"/>
      <c r="BB23" s="1037"/>
      <c r="BD23" s="1037"/>
    </row>
    <row r="24" spans="1:56" ht="38.25" x14ac:dyDescent="0.25">
      <c r="A24" s="786" t="s">
        <v>2235</v>
      </c>
      <c r="B24" s="787"/>
      <c r="C24" s="788"/>
      <c r="D24" s="788"/>
      <c r="E24" s="788"/>
      <c r="F24" s="788"/>
      <c r="G24" s="788"/>
      <c r="H24" s="788"/>
      <c r="I24" s="788"/>
      <c r="J24" s="788"/>
      <c r="K24" s="789">
        <f>+'Anexo 1'!AZ52</f>
        <v>0</v>
      </c>
      <c r="L24" s="789">
        <f>+(L25*AB25)</f>
        <v>0.56000000000000005</v>
      </c>
      <c r="M24" s="789">
        <f>+(M25*AC25)</f>
        <v>0.86</v>
      </c>
      <c r="N24" s="790"/>
      <c r="O24" s="790"/>
      <c r="P24" s="790"/>
      <c r="Q24" s="791"/>
      <c r="R24" s="791"/>
      <c r="S24" s="790"/>
      <c r="T24" s="790"/>
      <c r="U24" s="790"/>
      <c r="V24" s="790"/>
      <c r="W24" s="792"/>
      <c r="X24" s="790"/>
      <c r="Y24" s="791"/>
      <c r="Z24" s="793">
        <f>+(Z25*AA25)</f>
        <v>0.49000000000000005</v>
      </c>
      <c r="AA24" s="794">
        <v>0.2</v>
      </c>
      <c r="AB24" s="795">
        <v>0.2</v>
      </c>
      <c r="AC24" s="795">
        <v>0.2</v>
      </c>
      <c r="AD24" s="796">
        <f>+'Anexo 5.2-A. Gastos Rev'!CD20</f>
        <v>170000000</v>
      </c>
      <c r="AE24" s="796">
        <f>+AE25+AE32+AE36+AE40</f>
        <v>55220000</v>
      </c>
      <c r="AF24" s="796">
        <f>+AF25</f>
        <v>334922619</v>
      </c>
      <c r="AG24" s="798">
        <f>+'Anexo 5.2-A. Gastos Rev'!CE20</f>
        <v>165660000</v>
      </c>
      <c r="AH24" s="797">
        <f t="shared" si="0"/>
        <v>0.97447058823529409</v>
      </c>
      <c r="AI24" s="798">
        <f>+'Anexo 5.2-A. Gastos Rev'!CF20</f>
        <v>65260000</v>
      </c>
      <c r="AJ24" s="798">
        <f>+'Anexo 5.2-A. Gastos Rev'!CG20</f>
        <v>65260000</v>
      </c>
      <c r="AK24" s="797">
        <f t="shared" si="1"/>
        <v>0.39393939393939392</v>
      </c>
      <c r="AL24" s="798">
        <f t="shared" si="2"/>
        <v>100400000</v>
      </c>
      <c r="AM24" s="798">
        <f t="shared" ref="AM24:AN24" si="13">+AM25</f>
        <v>0</v>
      </c>
      <c r="AN24" s="798">
        <f t="shared" si="13"/>
        <v>0</v>
      </c>
      <c r="AO24" s="799" t="e">
        <f t="shared" si="3"/>
        <v>#DIV/0!</v>
      </c>
      <c r="AP24" s="796">
        <f>+AP25</f>
        <v>2230000000</v>
      </c>
      <c r="AQ24" s="800">
        <f>+AQ25</f>
        <v>500582619</v>
      </c>
      <c r="AR24" s="789">
        <f t="shared" si="5"/>
        <v>0.22447651076233183</v>
      </c>
      <c r="AS24" s="801"/>
      <c r="AT24" s="802" t="s">
        <v>2496</v>
      </c>
      <c r="AU24" s="803"/>
      <c r="AV24" s="804"/>
      <c r="AW24" s="805"/>
      <c r="AX24" s="805"/>
      <c r="BB24" s="1037"/>
      <c r="BD24" s="1037"/>
    </row>
    <row r="25" spans="1:56" ht="12.75" customHeight="1" x14ac:dyDescent="0.25">
      <c r="A25" s="806" t="s">
        <v>2155</v>
      </c>
      <c r="B25" s="807"/>
      <c r="C25" s="808"/>
      <c r="D25" s="808"/>
      <c r="E25" s="808"/>
      <c r="F25" s="808"/>
      <c r="G25" s="808"/>
      <c r="H25" s="808"/>
      <c r="I25" s="808"/>
      <c r="J25" s="808"/>
      <c r="K25" s="809">
        <f>+(K26*AA26)+(K27*AA27)+(K28*AA28)+(K29*AA29)+(K30*AA30)</f>
        <v>0.28000000000000003</v>
      </c>
      <c r="L25" s="810">
        <f>+(L26*AB26)+(L27*AB27)+(L28*AB28)+(L29*AB29)+(L30*AB30)</f>
        <v>0.56000000000000005</v>
      </c>
      <c r="M25" s="810">
        <f>+(M26*AC26)+(M27*AC27)+(M28*AC28)+(M29*AC29)+(M30*AC30)</f>
        <v>0.86</v>
      </c>
      <c r="N25" s="882"/>
      <c r="O25" s="882"/>
      <c r="P25" s="883"/>
      <c r="Q25" s="884"/>
      <c r="R25" s="884"/>
      <c r="S25" s="882"/>
      <c r="T25" s="882"/>
      <c r="U25" s="882"/>
      <c r="V25" s="883"/>
      <c r="W25" s="882"/>
      <c r="X25" s="882"/>
      <c r="Y25" s="885"/>
      <c r="Z25" s="814">
        <f>+(Z26*AA26)+(Z27*AA27)+(Z28*AA28)+(Z29*AA29)+(Z30*AA30)</f>
        <v>0.49000000000000005</v>
      </c>
      <c r="AA25" s="815">
        <v>1</v>
      </c>
      <c r="AB25" s="809">
        <v>1</v>
      </c>
      <c r="AC25" s="809">
        <v>1</v>
      </c>
      <c r="AD25" s="886">
        <f>+'Anexo 5.2-A. Gastos Rev'!CD21</f>
        <v>170000000</v>
      </c>
      <c r="AE25" s="887">
        <v>0</v>
      </c>
      <c r="AF25" s="888">
        <f>+SUM(AF26:AF30)</f>
        <v>334922619</v>
      </c>
      <c r="AG25" s="888">
        <f>+'Anexo 5.2-A. Gastos Rev'!CE21</f>
        <v>165660000</v>
      </c>
      <c r="AH25" s="889">
        <f t="shared" si="0"/>
        <v>0.97447058823529409</v>
      </c>
      <c r="AI25" s="888">
        <f>+'Anexo 5.2-A. Gastos Rev'!CF21</f>
        <v>65260000</v>
      </c>
      <c r="AJ25" s="888">
        <f>+'Anexo 5.2-A. Gastos Rev'!CG21</f>
        <v>65260000</v>
      </c>
      <c r="AK25" s="974">
        <f t="shared" si="1"/>
        <v>0.39393939393939392</v>
      </c>
      <c r="AL25" s="888">
        <f t="shared" si="2"/>
        <v>100400000</v>
      </c>
      <c r="AM25" s="888">
        <f t="shared" ref="AM25:AN25" si="14">+SUM(AM26:AM30)</f>
        <v>0</v>
      </c>
      <c r="AN25" s="888">
        <f t="shared" si="14"/>
        <v>0</v>
      </c>
      <c r="AO25" s="820" t="e">
        <f t="shared" si="3"/>
        <v>#DIV/0!</v>
      </c>
      <c r="AP25" s="888">
        <v>2230000000</v>
      </c>
      <c r="AQ25" s="890">
        <f t="shared" si="4"/>
        <v>500582619</v>
      </c>
      <c r="AR25" s="891">
        <f t="shared" si="5"/>
        <v>0.22447651076233183</v>
      </c>
      <c r="AS25" s="892"/>
      <c r="AT25" s="823"/>
      <c r="AU25" s="824"/>
      <c r="AV25" s="825"/>
      <c r="AW25" s="826"/>
      <c r="AX25" s="826"/>
      <c r="BB25" s="1037"/>
      <c r="BD25" s="1037"/>
    </row>
    <row r="26" spans="1:56" ht="89.25" x14ac:dyDescent="0.25">
      <c r="A26" s="827" t="s">
        <v>2294</v>
      </c>
      <c r="B26" s="893" t="s">
        <v>2295</v>
      </c>
      <c r="C26" s="828">
        <v>1</v>
      </c>
      <c r="D26" s="828">
        <v>1</v>
      </c>
      <c r="E26" s="828">
        <v>0</v>
      </c>
      <c r="F26" s="828">
        <v>0</v>
      </c>
      <c r="G26" s="828">
        <v>0</v>
      </c>
      <c r="H26" s="828">
        <v>0</v>
      </c>
      <c r="I26" s="828">
        <v>0</v>
      </c>
      <c r="J26" s="828"/>
      <c r="K26" s="838">
        <f>IF((G26+J26)/C26&gt;=100%,100%,(G26+J26)/C26)</f>
        <v>0</v>
      </c>
      <c r="L26" s="830">
        <f>IF(H26/D26&gt;=100%,100%,H26/D26)</f>
        <v>0</v>
      </c>
      <c r="M26" s="830">
        <v>0</v>
      </c>
      <c r="N26" s="391"/>
      <c r="O26" s="391"/>
      <c r="P26" s="831"/>
      <c r="Q26" s="832"/>
      <c r="R26" s="518"/>
      <c r="S26" s="391"/>
      <c r="T26" s="391"/>
      <c r="U26" s="391"/>
      <c r="V26" s="833"/>
      <c r="W26" s="391"/>
      <c r="X26" s="391">
        <v>2</v>
      </c>
      <c r="Y26" s="835">
        <f>SUM(G26:I26)</f>
        <v>0</v>
      </c>
      <c r="Z26" s="836">
        <f t="shared" ref="Z26:Z30" si="15">IF(Y26/X26&gt;=100%,100%,Y26/X26)</f>
        <v>0</v>
      </c>
      <c r="AA26" s="837">
        <v>0.15</v>
      </c>
      <c r="AB26" s="838">
        <v>0.15</v>
      </c>
      <c r="AC26" s="838">
        <v>0</v>
      </c>
      <c r="AD26" s="866">
        <f>+'Anexo 5.2-A. Gastos Rev'!CD22</f>
        <v>0</v>
      </c>
      <c r="AE26" s="972"/>
      <c r="AF26" s="985">
        <v>0</v>
      </c>
      <c r="AG26" s="985">
        <f>+'Anexo 5.2-A. Gastos Rev'!CE22</f>
        <v>0</v>
      </c>
      <c r="AH26" s="837" t="e">
        <f t="shared" si="0"/>
        <v>#DIV/0!</v>
      </c>
      <c r="AI26" s="865">
        <f>+'Anexo 5.2-A. Gastos Rev'!CF22</f>
        <v>0</v>
      </c>
      <c r="AJ26" s="865">
        <f>+'Anexo 5.2-A. Gastos Rev'!CG22</f>
        <v>0</v>
      </c>
      <c r="AK26" s="987" t="e">
        <f t="shared" si="1"/>
        <v>#DIV/0!</v>
      </c>
      <c r="AL26" s="865">
        <f t="shared" si="2"/>
        <v>0</v>
      </c>
      <c r="AM26" s="865"/>
      <c r="AN26" s="865"/>
      <c r="AO26" s="843" t="e">
        <f t="shared" si="3"/>
        <v>#DIV/0!</v>
      </c>
      <c r="AP26" s="864"/>
      <c r="AQ26" s="866">
        <f t="shared" si="4"/>
        <v>0</v>
      </c>
      <c r="AR26" s="867" t="e">
        <f t="shared" si="5"/>
        <v>#DIV/0!</v>
      </c>
      <c r="AS26" s="868"/>
      <c r="AT26" s="494"/>
      <c r="AU26" s="493" t="s">
        <v>105</v>
      </c>
      <c r="AV26" s="846" t="s">
        <v>2296</v>
      </c>
      <c r="AW26" s="847"/>
      <c r="AX26" s="847"/>
      <c r="BB26" s="1037"/>
      <c r="BD26" s="1037"/>
    </row>
    <row r="27" spans="1:56" ht="89.25" x14ac:dyDescent="0.25">
      <c r="A27" s="827" t="s">
        <v>2297</v>
      </c>
      <c r="B27" s="893" t="s">
        <v>2295</v>
      </c>
      <c r="C27" s="828">
        <v>1</v>
      </c>
      <c r="D27" s="828">
        <v>1</v>
      </c>
      <c r="E27" s="828">
        <v>0</v>
      </c>
      <c r="F27" s="828">
        <v>0</v>
      </c>
      <c r="G27" s="828">
        <v>0</v>
      </c>
      <c r="H27" s="828">
        <v>0</v>
      </c>
      <c r="I27" s="828">
        <v>0</v>
      </c>
      <c r="J27" s="828"/>
      <c r="K27" s="838">
        <f>IF((G27+J27)/C27&gt;=100%,100%,(G27+J27)/C27)</f>
        <v>0</v>
      </c>
      <c r="L27" s="830">
        <f>IF(H27/D27&gt;=100%,100%,H27/D27)</f>
        <v>0</v>
      </c>
      <c r="M27" s="830">
        <v>0</v>
      </c>
      <c r="N27" s="391"/>
      <c r="O27" s="391"/>
      <c r="P27" s="831"/>
      <c r="Q27" s="832"/>
      <c r="R27" s="518"/>
      <c r="S27" s="391"/>
      <c r="T27" s="391"/>
      <c r="U27" s="391"/>
      <c r="V27" s="833"/>
      <c r="W27" s="391"/>
      <c r="X27" s="391">
        <v>2</v>
      </c>
      <c r="Y27" s="835">
        <f>SUM(G27:I27)</f>
        <v>0</v>
      </c>
      <c r="Z27" s="836">
        <f t="shared" si="15"/>
        <v>0</v>
      </c>
      <c r="AA27" s="837">
        <v>0.15</v>
      </c>
      <c r="AB27" s="838">
        <v>0.15</v>
      </c>
      <c r="AC27" s="838">
        <v>0</v>
      </c>
      <c r="AD27" s="866">
        <f>+'Anexo 5.2-A. Gastos Rev'!CD23</f>
        <v>0</v>
      </c>
      <c r="AE27" s="972"/>
      <c r="AF27" s="985">
        <v>0</v>
      </c>
      <c r="AG27" s="985">
        <f>+'Anexo 5.2-A. Gastos Rev'!CE23</f>
        <v>0</v>
      </c>
      <c r="AH27" s="837" t="e">
        <f t="shared" si="0"/>
        <v>#DIV/0!</v>
      </c>
      <c r="AI27" s="865">
        <f>+'Anexo 5.2-A. Gastos Rev'!CF23</f>
        <v>0</v>
      </c>
      <c r="AJ27" s="865">
        <f>+'Anexo 5.2-A. Gastos Rev'!CG23</f>
        <v>0</v>
      </c>
      <c r="AK27" s="987" t="e">
        <f t="shared" si="1"/>
        <v>#DIV/0!</v>
      </c>
      <c r="AL27" s="865">
        <f t="shared" si="2"/>
        <v>0</v>
      </c>
      <c r="AM27" s="865"/>
      <c r="AN27" s="865"/>
      <c r="AO27" s="843" t="e">
        <f t="shared" si="3"/>
        <v>#DIV/0!</v>
      </c>
      <c r="AP27" s="864"/>
      <c r="AQ27" s="866">
        <f t="shared" si="4"/>
        <v>0</v>
      </c>
      <c r="AR27" s="867" t="e">
        <f t="shared" si="5"/>
        <v>#DIV/0!</v>
      </c>
      <c r="AS27" s="868"/>
      <c r="AT27" s="494"/>
      <c r="AU27" s="493" t="s">
        <v>105</v>
      </c>
      <c r="AV27" s="846" t="s">
        <v>2296</v>
      </c>
      <c r="AW27" s="847"/>
      <c r="AX27" s="847"/>
      <c r="BB27" s="1037"/>
      <c r="BD27" s="1037"/>
    </row>
    <row r="28" spans="1:56" ht="43.5" customHeight="1" x14ac:dyDescent="0.25">
      <c r="A28" s="827" t="s">
        <v>2298</v>
      </c>
      <c r="B28" s="893" t="s">
        <v>2299</v>
      </c>
      <c r="C28" s="828">
        <v>1</v>
      </c>
      <c r="D28" s="828">
        <v>1</v>
      </c>
      <c r="E28" s="828">
        <v>1</v>
      </c>
      <c r="F28" s="828">
        <v>1</v>
      </c>
      <c r="G28" s="828">
        <v>1</v>
      </c>
      <c r="H28" s="828">
        <v>1</v>
      </c>
      <c r="I28" s="828">
        <v>1</v>
      </c>
      <c r="J28" s="828"/>
      <c r="K28" s="838">
        <f>IF((G28+J28)/C28&gt;=100%,100%,(G28+J28)/C28)</f>
        <v>1</v>
      </c>
      <c r="L28" s="830">
        <f>IF(H28/D28&gt;=100%,100%,H28/D28)</f>
        <v>1</v>
      </c>
      <c r="M28" s="830">
        <f>IF(I28/E28&gt;=100%,100%,I28/E28)</f>
        <v>1</v>
      </c>
      <c r="N28" s="391" t="s">
        <v>2533</v>
      </c>
      <c r="O28" s="391"/>
      <c r="P28" s="832" t="s">
        <v>75</v>
      </c>
      <c r="Q28" s="832"/>
      <c r="R28" s="832" t="s">
        <v>2521</v>
      </c>
      <c r="S28" s="391" t="s">
        <v>2534</v>
      </c>
      <c r="T28" s="391"/>
      <c r="U28" s="391"/>
      <c r="V28" s="833"/>
      <c r="W28" s="391"/>
      <c r="X28" s="391">
        <v>4</v>
      </c>
      <c r="Y28" s="835">
        <f>SUM(G28:I28)</f>
        <v>3</v>
      </c>
      <c r="Z28" s="836">
        <f t="shared" si="15"/>
        <v>0.75</v>
      </c>
      <c r="AA28" s="837">
        <v>0.28000000000000003</v>
      </c>
      <c r="AB28" s="838">
        <v>0.28000000000000003</v>
      </c>
      <c r="AC28" s="838">
        <v>0.57999999999999996</v>
      </c>
      <c r="AD28" s="866">
        <f>+'Anexo 5.2-A. Gastos Rev'!CD24</f>
        <v>100000000</v>
      </c>
      <c r="AE28" s="972"/>
      <c r="AF28" s="985">
        <v>301200000</v>
      </c>
      <c r="AG28" s="985">
        <f>+'Anexo 5.2-A. Gastos Rev'!CE24</f>
        <v>100000000</v>
      </c>
      <c r="AH28" s="837">
        <f t="shared" si="0"/>
        <v>1</v>
      </c>
      <c r="AI28" s="1000">
        <f>+'Anexo 5.2-A. Gastos Rev'!CF24</f>
        <v>65260000</v>
      </c>
      <c r="AJ28" s="1000">
        <f>+'Anexo 5.2-A. Gastos Rev'!CG24</f>
        <v>65260000</v>
      </c>
      <c r="AK28" s="999">
        <f t="shared" si="1"/>
        <v>0.65259999999999996</v>
      </c>
      <c r="AL28" s="865">
        <f t="shared" si="2"/>
        <v>34740000</v>
      </c>
      <c r="AM28" s="865"/>
      <c r="AN28" s="865"/>
      <c r="AO28" s="843" t="e">
        <f t="shared" si="3"/>
        <v>#DIV/0!</v>
      </c>
      <c r="AP28" s="864"/>
      <c r="AQ28" s="866">
        <f t="shared" si="4"/>
        <v>401200000</v>
      </c>
      <c r="AR28" s="867" t="e">
        <f t="shared" si="5"/>
        <v>#DIV/0!</v>
      </c>
      <c r="AS28" s="868"/>
      <c r="AT28" s="494"/>
      <c r="AU28" s="493" t="s">
        <v>105</v>
      </c>
      <c r="AV28" s="846" t="s">
        <v>2277</v>
      </c>
      <c r="AW28" s="847"/>
      <c r="AX28" s="847"/>
      <c r="BB28" s="1037"/>
      <c r="BD28" s="1037"/>
    </row>
    <row r="29" spans="1:56" ht="76.5" x14ac:dyDescent="0.25">
      <c r="A29" s="827" t="s">
        <v>2300</v>
      </c>
      <c r="B29" s="893" t="s">
        <v>2301</v>
      </c>
      <c r="C29" s="851">
        <v>0.8</v>
      </c>
      <c r="D29" s="851">
        <v>0.8</v>
      </c>
      <c r="E29" s="851">
        <v>0.8</v>
      </c>
      <c r="F29" s="851">
        <v>0.8</v>
      </c>
      <c r="G29" s="851">
        <v>0</v>
      </c>
      <c r="H29" s="851">
        <v>0.8</v>
      </c>
      <c r="I29" s="837">
        <v>0.8</v>
      </c>
      <c r="J29" s="828"/>
      <c r="K29" s="838">
        <f>IF((G29+J29)/C29&gt;=100%,100%,(G29+J29)/C29)</f>
        <v>0</v>
      </c>
      <c r="L29" s="830">
        <f>IF(H29/D29&gt;=100%,100%,H29/D29)</f>
        <v>1</v>
      </c>
      <c r="M29" s="830">
        <f>IF(I29/E29&gt;=100%,100%,I29/E29)</f>
        <v>1</v>
      </c>
      <c r="N29" s="391" t="s">
        <v>2535</v>
      </c>
      <c r="O29" s="391"/>
      <c r="P29" s="831" t="s">
        <v>2525</v>
      </c>
      <c r="Q29" s="832" t="s">
        <v>2536</v>
      </c>
      <c r="R29" s="518"/>
      <c r="S29" s="391"/>
      <c r="T29" s="391"/>
      <c r="U29" s="391"/>
      <c r="V29" s="833"/>
      <c r="W29" s="391"/>
      <c r="X29" s="894">
        <v>0.8</v>
      </c>
      <c r="Y29" s="853">
        <v>0.8</v>
      </c>
      <c r="Z29" s="836">
        <f t="shared" si="15"/>
        <v>1</v>
      </c>
      <c r="AA29" s="837">
        <v>0.28000000000000003</v>
      </c>
      <c r="AB29" s="838">
        <v>0.28000000000000003</v>
      </c>
      <c r="AC29" s="838">
        <v>0.28000000000000003</v>
      </c>
      <c r="AD29" s="866">
        <f>+'Anexo 5.2-A. Gastos Rev'!CD25</f>
        <v>20000000</v>
      </c>
      <c r="AE29" s="972"/>
      <c r="AF29" s="985">
        <v>33722619</v>
      </c>
      <c r="AG29" s="985">
        <f>+'Anexo 5.2-A. Gastos Rev'!CE25</f>
        <v>15660000</v>
      </c>
      <c r="AH29" s="837">
        <f t="shared" si="0"/>
        <v>0.78300000000000003</v>
      </c>
      <c r="AI29" s="1000">
        <f>+'Anexo 5.2-A. Gastos Rev'!CF25</f>
        <v>0</v>
      </c>
      <c r="AJ29" s="1000">
        <f>+'Anexo 5.2-A. Gastos Rev'!CG25</f>
        <v>0</v>
      </c>
      <c r="AK29" s="999">
        <f t="shared" si="1"/>
        <v>0</v>
      </c>
      <c r="AL29" s="1000">
        <f t="shared" si="2"/>
        <v>15660000</v>
      </c>
      <c r="AM29" s="865"/>
      <c r="AN29" s="865"/>
      <c r="AO29" s="843" t="e">
        <f t="shared" si="3"/>
        <v>#DIV/0!</v>
      </c>
      <c r="AP29" s="864"/>
      <c r="AQ29" s="866">
        <f t="shared" si="4"/>
        <v>49382619</v>
      </c>
      <c r="AR29" s="867" t="e">
        <f t="shared" si="5"/>
        <v>#DIV/0!</v>
      </c>
      <c r="AS29" s="868"/>
      <c r="AT29" s="494"/>
      <c r="AU29" s="493" t="s">
        <v>105</v>
      </c>
      <c r="AV29" s="846" t="s">
        <v>2277</v>
      </c>
      <c r="AW29" s="847"/>
      <c r="AX29" s="847"/>
      <c r="BB29" s="1037"/>
      <c r="BD29" s="1037"/>
    </row>
    <row r="30" spans="1:56" ht="45" customHeight="1" thickBot="1" x14ac:dyDescent="0.3">
      <c r="A30" s="827" t="s">
        <v>2302</v>
      </c>
      <c r="B30" s="893" t="s">
        <v>2303</v>
      </c>
      <c r="C30" s="828">
        <v>1</v>
      </c>
      <c r="D30" s="828">
        <v>1</v>
      </c>
      <c r="E30" s="1631">
        <v>0</v>
      </c>
      <c r="F30" s="828">
        <v>0</v>
      </c>
      <c r="G30" s="828">
        <v>0</v>
      </c>
      <c r="H30" s="828">
        <v>0</v>
      </c>
      <c r="I30" s="828">
        <v>0</v>
      </c>
      <c r="J30" s="828"/>
      <c r="K30" s="838">
        <f>IF((G30+J30)/C30&gt;=100%,100%,(G30+J30)/C30)</f>
        <v>0</v>
      </c>
      <c r="L30" s="830">
        <f>IF(H30/D30&gt;=100%,100%,H30/D30)</f>
        <v>0</v>
      </c>
      <c r="M30" s="830">
        <v>0</v>
      </c>
      <c r="N30" s="391"/>
      <c r="O30" s="391"/>
      <c r="P30" s="831"/>
      <c r="Q30" s="832"/>
      <c r="R30" s="518"/>
      <c r="S30" s="391"/>
      <c r="T30" s="391"/>
      <c r="U30" s="391"/>
      <c r="V30" s="833"/>
      <c r="W30" s="391"/>
      <c r="X30" s="391">
        <v>2</v>
      </c>
      <c r="Y30" s="835">
        <f>SUM(G30:I30)</f>
        <v>0</v>
      </c>
      <c r="Z30" s="836">
        <f t="shared" si="15"/>
        <v>0</v>
      </c>
      <c r="AA30" s="837">
        <v>0.14000000000000001</v>
      </c>
      <c r="AB30" s="838">
        <v>0.14000000000000001</v>
      </c>
      <c r="AC30" s="838">
        <v>0.14000000000000001</v>
      </c>
      <c r="AD30" s="1003">
        <f>+'Anexo 5.2-A. Gastos Rev'!CD26</f>
        <v>50000000</v>
      </c>
      <c r="AE30" s="1632"/>
      <c r="AF30" s="1000"/>
      <c r="AG30" s="1000">
        <f>+'Anexo 5.2-A. Gastos Rev'!CE26</f>
        <v>50000000</v>
      </c>
      <c r="AH30" s="837">
        <f t="shared" si="0"/>
        <v>1</v>
      </c>
      <c r="AI30" s="865">
        <f>+'Anexo 5.2-A. Gastos Rev'!CF26</f>
        <v>0</v>
      </c>
      <c r="AJ30" s="865">
        <f>+'Anexo 5.2-A. Gastos Rev'!CG26</f>
        <v>0</v>
      </c>
      <c r="AK30" s="987">
        <f t="shared" si="1"/>
        <v>0</v>
      </c>
      <c r="AL30" s="865">
        <f t="shared" si="2"/>
        <v>50000000</v>
      </c>
      <c r="AM30" s="865"/>
      <c r="AN30" s="865"/>
      <c r="AO30" s="843" t="e">
        <f t="shared" si="3"/>
        <v>#DIV/0!</v>
      </c>
      <c r="AP30" s="864"/>
      <c r="AQ30" s="866">
        <f t="shared" si="4"/>
        <v>50000000</v>
      </c>
      <c r="AR30" s="867" t="e">
        <f t="shared" si="5"/>
        <v>#DIV/0!</v>
      </c>
      <c r="AS30" s="868"/>
      <c r="AT30" s="494"/>
      <c r="AU30" s="493" t="s">
        <v>105</v>
      </c>
      <c r="AV30" s="846" t="s">
        <v>2277</v>
      </c>
      <c r="AW30" s="847"/>
      <c r="AX30" s="847"/>
      <c r="BB30" s="1037"/>
      <c r="BD30" s="1037"/>
    </row>
    <row r="31" spans="1:56" ht="38.25" x14ac:dyDescent="0.25">
      <c r="A31" s="765" t="s">
        <v>2156</v>
      </c>
      <c r="B31" s="895"/>
      <c r="C31" s="896"/>
      <c r="D31" s="896"/>
      <c r="E31" s="896"/>
      <c r="F31" s="896"/>
      <c r="G31" s="896"/>
      <c r="H31" s="896"/>
      <c r="I31" s="896"/>
      <c r="J31" s="896"/>
      <c r="K31" s="897">
        <f>+(K32*AA32)+(K37*AA37)+(K54*AA54)</f>
        <v>0.48000000000000004</v>
      </c>
      <c r="L31" s="897">
        <f>+(L32*AB32)+(L37*AB37)+(L54*AB54)</f>
        <v>0.91</v>
      </c>
      <c r="M31" s="897">
        <f>+(M32*AC32)+(M37*AC37)+(M54*AC54)</f>
        <v>0.98734374999999996</v>
      </c>
      <c r="N31" s="898"/>
      <c r="O31" s="898"/>
      <c r="P31" s="770"/>
      <c r="Q31" s="771"/>
      <c r="R31" s="771"/>
      <c r="S31" s="898"/>
      <c r="T31" s="898"/>
      <c r="U31" s="898"/>
      <c r="V31" s="898"/>
      <c r="W31" s="898"/>
      <c r="X31" s="898"/>
      <c r="Y31" s="899"/>
      <c r="Z31" s="900">
        <f>+(Z32*AA32)+(Z37*AA37)+(Z54*AA54)</f>
        <v>0.59123773829912241</v>
      </c>
      <c r="AA31" s="901">
        <v>0.2</v>
      </c>
      <c r="AB31" s="902">
        <v>0.2</v>
      </c>
      <c r="AC31" s="902">
        <v>0.2</v>
      </c>
      <c r="AD31" s="903">
        <f>+'Anexo 5.2-A. Gastos Rev'!CD27</f>
        <v>6646695000</v>
      </c>
      <c r="AE31" s="904">
        <f t="shared" ref="AE31" si="16">+AE32+AE37+AE54</f>
        <v>2528416953.8799996</v>
      </c>
      <c r="AF31" s="904">
        <f>+AF32+AF37+AF54</f>
        <v>5515480410.4700003</v>
      </c>
      <c r="AG31" s="904">
        <f>+'Anexo 5.2-A. Gastos Rev'!CE27</f>
        <v>6595570455.7200003</v>
      </c>
      <c r="AH31" s="901">
        <f t="shared" si="0"/>
        <v>0.99230827587545389</v>
      </c>
      <c r="AI31" s="904">
        <f>+'Anexo 5.2-A. Gastos Rev'!CF27</f>
        <v>4441929752</v>
      </c>
      <c r="AJ31" s="904">
        <f>+'Anexo 5.2-A. Gastos Rev'!CG27</f>
        <v>4067914497</v>
      </c>
      <c r="AK31" s="901">
        <f t="shared" si="1"/>
        <v>0.67347165523002517</v>
      </c>
      <c r="AL31" s="904">
        <f t="shared" si="2"/>
        <v>2153640703.7200003</v>
      </c>
      <c r="AM31" s="904">
        <f t="shared" ref="AM31:AN31" si="17">+AM32+AM37+AM54</f>
        <v>0</v>
      </c>
      <c r="AN31" s="904">
        <f t="shared" si="17"/>
        <v>0</v>
      </c>
      <c r="AO31" s="905" t="e">
        <f t="shared" si="3"/>
        <v>#DIV/0!</v>
      </c>
      <c r="AP31" s="904">
        <f t="shared" ref="AP31" si="18">+AP32+AP37+AP54</f>
        <v>23578034566</v>
      </c>
      <c r="AQ31" s="906">
        <f t="shared" si="4"/>
        <v>14639467820.07</v>
      </c>
      <c r="AR31" s="897">
        <f t="shared" si="5"/>
        <v>0.62089432344714635</v>
      </c>
      <c r="AS31" s="907"/>
      <c r="AT31" s="908" t="s">
        <v>82</v>
      </c>
      <c r="AU31" s="909"/>
      <c r="AV31" s="910"/>
      <c r="AW31" s="911"/>
      <c r="AX31" s="911"/>
      <c r="BB31" s="1037"/>
      <c r="BD31" s="1037"/>
    </row>
    <row r="32" spans="1:56" ht="38.25" x14ac:dyDescent="0.25">
      <c r="A32" s="912" t="s">
        <v>2157</v>
      </c>
      <c r="B32" s="787"/>
      <c r="C32" s="788"/>
      <c r="D32" s="788"/>
      <c r="E32" s="788"/>
      <c r="F32" s="788"/>
      <c r="G32" s="788"/>
      <c r="H32" s="788"/>
      <c r="I32" s="788"/>
      <c r="J32" s="788"/>
      <c r="K32" s="795">
        <f>+(K33*AA33)</f>
        <v>0.33</v>
      </c>
      <c r="L32" s="789">
        <f>+(L33*AB33)</f>
        <v>1</v>
      </c>
      <c r="M32" s="789">
        <f>+(M33*AC33)</f>
        <v>1</v>
      </c>
      <c r="N32" s="913"/>
      <c r="O32" s="913"/>
      <c r="P32" s="790"/>
      <c r="Q32" s="791"/>
      <c r="R32" s="791"/>
      <c r="S32" s="913"/>
      <c r="T32" s="913"/>
      <c r="U32" s="913"/>
      <c r="V32" s="914"/>
      <c r="W32" s="913"/>
      <c r="X32" s="913"/>
      <c r="Y32" s="791"/>
      <c r="Z32" s="793">
        <f>+(Z33*AA33)</f>
        <v>0.41749999999999998</v>
      </c>
      <c r="AA32" s="794">
        <v>0.4</v>
      </c>
      <c r="AB32" s="795">
        <v>0.4</v>
      </c>
      <c r="AC32" s="795">
        <v>0.4</v>
      </c>
      <c r="AD32" s="915">
        <f>+'Anexo 5.2-A. Gastos Rev'!CD28</f>
        <v>0</v>
      </c>
      <c r="AE32" s="916">
        <f t="shared" ref="AE32:AF32" si="19">+AE33</f>
        <v>55220000</v>
      </c>
      <c r="AF32" s="916">
        <f t="shared" si="19"/>
        <v>249996000</v>
      </c>
      <c r="AG32" s="916">
        <f>+'Anexo 5.2-A. Gastos Rev'!CE28</f>
        <v>0</v>
      </c>
      <c r="AH32" s="794" t="e">
        <f t="shared" si="0"/>
        <v>#DIV/0!</v>
      </c>
      <c r="AI32" s="916">
        <f>+'Anexo 5.2-A. Gastos Rev'!CF28</f>
        <v>0</v>
      </c>
      <c r="AJ32" s="916">
        <f>+'Anexo 5.2-A. Gastos Rev'!CG28</f>
        <v>0</v>
      </c>
      <c r="AK32" s="976" t="e">
        <f t="shared" si="1"/>
        <v>#DIV/0!</v>
      </c>
      <c r="AL32" s="916">
        <f t="shared" si="2"/>
        <v>0</v>
      </c>
      <c r="AM32" s="916">
        <f t="shared" ref="AM32:AN32" si="20">+AM33</f>
        <v>0</v>
      </c>
      <c r="AN32" s="916">
        <f t="shared" si="20"/>
        <v>0</v>
      </c>
      <c r="AO32" s="799" t="e">
        <f t="shared" si="3"/>
        <v>#DIV/0!</v>
      </c>
      <c r="AP32" s="916">
        <f t="shared" ref="AP32" si="21">+AP33</f>
        <v>1800000000</v>
      </c>
      <c r="AQ32" s="917">
        <f t="shared" si="4"/>
        <v>305216000</v>
      </c>
      <c r="AR32" s="918">
        <f t="shared" si="5"/>
        <v>0.16956444444444443</v>
      </c>
      <c r="AS32" s="919"/>
      <c r="AT32" s="802"/>
      <c r="AU32" s="803"/>
      <c r="AV32" s="804"/>
      <c r="AW32" s="805"/>
      <c r="AX32" s="805"/>
      <c r="BB32" s="1037"/>
      <c r="BD32" s="1037"/>
    </row>
    <row r="33" spans="1:56" ht="25.5" x14ac:dyDescent="0.25">
      <c r="A33" s="806" t="s">
        <v>2158</v>
      </c>
      <c r="B33" s="807"/>
      <c r="C33" s="808"/>
      <c r="D33" s="808"/>
      <c r="E33" s="808"/>
      <c r="F33" s="808"/>
      <c r="G33" s="808"/>
      <c r="H33" s="808"/>
      <c r="I33" s="808"/>
      <c r="J33" s="808"/>
      <c r="K33" s="809">
        <f>+(K34*AA34)+(K35*AA35)+(K36*AA36)</f>
        <v>0.33</v>
      </c>
      <c r="L33" s="810">
        <f>+(L34*AB34)+(L35*AB35)+(L36*AB36)</f>
        <v>1</v>
      </c>
      <c r="M33" s="810">
        <f>+(M34*AC34)+(M35*AC35)+(M36*AC36)</f>
        <v>1</v>
      </c>
      <c r="N33" s="854"/>
      <c r="O33" s="854"/>
      <c r="P33" s="811"/>
      <c r="Q33" s="812"/>
      <c r="R33" s="812"/>
      <c r="S33" s="854"/>
      <c r="T33" s="854"/>
      <c r="U33" s="854"/>
      <c r="V33" s="855"/>
      <c r="W33" s="854"/>
      <c r="X33" s="854"/>
      <c r="Y33" s="812"/>
      <c r="Z33" s="814">
        <f>+(Z34*AA34)+(Z35*AA35)+(Z36*AA36)</f>
        <v>0.41749999999999998</v>
      </c>
      <c r="AA33" s="815">
        <v>1</v>
      </c>
      <c r="AB33" s="809">
        <v>1</v>
      </c>
      <c r="AC33" s="809">
        <v>1</v>
      </c>
      <c r="AD33" s="856">
        <f>+'Anexo 5.2-A. Gastos Rev'!CD29</f>
        <v>0</v>
      </c>
      <c r="AE33" s="857">
        <v>55220000</v>
      </c>
      <c r="AF33" s="858">
        <f>+SUM(AF34:AF36)</f>
        <v>249996000</v>
      </c>
      <c r="AG33" s="858">
        <f>+'Anexo 5.2-A. Gastos Rev'!CE29</f>
        <v>0</v>
      </c>
      <c r="AH33" s="815" t="e">
        <f t="shared" si="0"/>
        <v>#DIV/0!</v>
      </c>
      <c r="AI33" s="858">
        <f>+'Anexo 5.2-A. Gastos Rev'!CF29</f>
        <v>0</v>
      </c>
      <c r="AJ33" s="858">
        <f>+'Anexo 5.2-A. Gastos Rev'!CG29</f>
        <v>0</v>
      </c>
      <c r="AK33" s="975" t="e">
        <f t="shared" si="1"/>
        <v>#DIV/0!</v>
      </c>
      <c r="AL33" s="858">
        <f t="shared" si="2"/>
        <v>0</v>
      </c>
      <c r="AM33" s="858">
        <f t="shared" ref="AM33:AN33" si="22">+SUM(AM34:AM36)</f>
        <v>0</v>
      </c>
      <c r="AN33" s="858">
        <f t="shared" si="22"/>
        <v>0</v>
      </c>
      <c r="AO33" s="820" t="e">
        <f t="shared" si="3"/>
        <v>#DIV/0!</v>
      </c>
      <c r="AP33" s="858">
        <v>1800000000</v>
      </c>
      <c r="AQ33" s="860">
        <f t="shared" si="4"/>
        <v>305216000</v>
      </c>
      <c r="AR33" s="881">
        <f t="shared" si="5"/>
        <v>0.16956444444444443</v>
      </c>
      <c r="AS33" s="861"/>
      <c r="AT33" s="823"/>
      <c r="AU33" s="824"/>
      <c r="AV33" s="825"/>
      <c r="AW33" s="826"/>
      <c r="AX33" s="826"/>
      <c r="BB33" s="1037"/>
      <c r="BD33" s="1037"/>
    </row>
    <row r="34" spans="1:56" ht="38.25" x14ac:dyDescent="0.25">
      <c r="A34" s="827" t="s">
        <v>2304</v>
      </c>
      <c r="B34" s="893" t="s">
        <v>2303</v>
      </c>
      <c r="C34" s="828">
        <v>1</v>
      </c>
      <c r="D34" s="828">
        <v>1</v>
      </c>
      <c r="E34" s="828">
        <v>0</v>
      </c>
      <c r="F34" s="828">
        <v>0</v>
      </c>
      <c r="G34" s="828">
        <v>0</v>
      </c>
      <c r="H34" s="828">
        <v>1</v>
      </c>
      <c r="I34" s="828">
        <v>0</v>
      </c>
      <c r="J34" s="828"/>
      <c r="K34" s="838">
        <f>IF((G34+J34)/C34&gt;=100%,100%,(G34+J34)/C34)</f>
        <v>0</v>
      </c>
      <c r="L34" s="830">
        <f>IF(H34/D34&gt;=100%,100%,H34/D34)</f>
        <v>1</v>
      </c>
      <c r="M34" s="830">
        <v>0</v>
      </c>
      <c r="N34" s="391"/>
      <c r="O34" s="391"/>
      <c r="P34" s="831"/>
      <c r="Q34" s="832"/>
      <c r="R34" s="518"/>
      <c r="S34" s="391"/>
      <c r="T34" s="391"/>
      <c r="U34" s="391"/>
      <c r="V34" s="833"/>
      <c r="W34" s="391"/>
      <c r="X34" s="391">
        <v>2</v>
      </c>
      <c r="Y34" s="835">
        <f>SUM(G34:I34)</f>
        <v>1</v>
      </c>
      <c r="Z34" s="836">
        <f t="shared" si="8"/>
        <v>0.5</v>
      </c>
      <c r="AA34" s="837">
        <v>0.34</v>
      </c>
      <c r="AB34" s="838">
        <v>0.5</v>
      </c>
      <c r="AC34" s="838">
        <v>0</v>
      </c>
      <c r="AD34" s="866">
        <f>+'Anexo 5.2-A. Gastos Rev'!CD30</f>
        <v>0</v>
      </c>
      <c r="AE34" s="863"/>
      <c r="AF34" s="985">
        <v>249996000</v>
      </c>
      <c r="AG34" s="985">
        <f>+'Anexo 5.2-A. Gastos Rev'!CE30</f>
        <v>0</v>
      </c>
      <c r="AH34" s="837" t="e">
        <f t="shared" si="0"/>
        <v>#DIV/0!</v>
      </c>
      <c r="AI34" s="1000">
        <f>+'Anexo 5.2-A. Gastos Rev'!CF30</f>
        <v>0</v>
      </c>
      <c r="AJ34" s="1000">
        <f>+'Anexo 5.2-A. Gastos Rev'!CG30</f>
        <v>0</v>
      </c>
      <c r="AK34" s="987" t="e">
        <f t="shared" si="1"/>
        <v>#DIV/0!</v>
      </c>
      <c r="AL34" s="1000">
        <f t="shared" si="2"/>
        <v>0</v>
      </c>
      <c r="AM34" s="865"/>
      <c r="AN34" s="865"/>
      <c r="AO34" s="843" t="e">
        <f t="shared" si="3"/>
        <v>#DIV/0!</v>
      </c>
      <c r="AP34" s="864"/>
      <c r="AQ34" s="866">
        <f t="shared" si="4"/>
        <v>249996000</v>
      </c>
      <c r="AR34" s="867" t="e">
        <f t="shared" si="5"/>
        <v>#DIV/0!</v>
      </c>
      <c r="AS34" s="868"/>
      <c r="AT34" s="494"/>
      <c r="AU34" s="493" t="s">
        <v>109</v>
      </c>
      <c r="AV34" s="846" t="s">
        <v>2305</v>
      </c>
      <c r="AW34" s="847"/>
      <c r="AX34" s="847"/>
      <c r="BB34" s="1037"/>
      <c r="BD34" s="1037"/>
    </row>
    <row r="35" spans="1:56" ht="51" x14ac:dyDescent="0.25">
      <c r="A35" s="827" t="s">
        <v>2306</v>
      </c>
      <c r="B35" s="893" t="s">
        <v>2307</v>
      </c>
      <c r="C35" s="828">
        <v>0</v>
      </c>
      <c r="D35" s="828">
        <v>0</v>
      </c>
      <c r="E35" s="828">
        <v>0</v>
      </c>
      <c r="F35" s="828">
        <v>1</v>
      </c>
      <c r="G35" s="828">
        <v>0</v>
      </c>
      <c r="H35" s="828">
        <v>0</v>
      </c>
      <c r="I35" s="828">
        <v>0</v>
      </c>
      <c r="J35" s="828"/>
      <c r="K35" s="838">
        <v>0</v>
      </c>
      <c r="L35" s="830">
        <v>0</v>
      </c>
      <c r="M35" s="830">
        <v>0</v>
      </c>
      <c r="N35" s="390"/>
      <c r="O35" s="390"/>
      <c r="P35" s="831"/>
      <c r="Q35" s="832"/>
      <c r="R35" s="518"/>
      <c r="S35" s="390"/>
      <c r="T35" s="390"/>
      <c r="U35" s="390"/>
      <c r="V35" s="833"/>
      <c r="W35" s="390"/>
      <c r="X35" s="835">
        <v>1</v>
      </c>
      <c r="Y35" s="835">
        <f>SUM(G35:I35)</f>
        <v>0</v>
      </c>
      <c r="Z35" s="836">
        <f t="shared" si="8"/>
        <v>0</v>
      </c>
      <c r="AA35" s="837">
        <v>0.33</v>
      </c>
      <c r="AB35" s="838">
        <v>0</v>
      </c>
      <c r="AC35" s="838">
        <v>0</v>
      </c>
      <c r="AD35" s="844">
        <f>+'Anexo 5.2-A. Gastos Rev'!CD31</f>
        <v>0</v>
      </c>
      <c r="AE35" s="848"/>
      <c r="AF35" s="984"/>
      <c r="AG35" s="984">
        <f>+'Anexo 5.2-A. Gastos Rev'!CE31</f>
        <v>0</v>
      </c>
      <c r="AH35" s="837" t="e">
        <f t="shared" si="0"/>
        <v>#DIV/0!</v>
      </c>
      <c r="AI35" s="998">
        <f>+'Anexo 5.2-A. Gastos Rev'!CF31</f>
        <v>0</v>
      </c>
      <c r="AJ35" s="998">
        <f>+'Anexo 5.2-A. Gastos Rev'!CG31</f>
        <v>0</v>
      </c>
      <c r="AK35" s="988" t="e">
        <f t="shared" si="1"/>
        <v>#DIV/0!</v>
      </c>
      <c r="AL35" s="998">
        <f t="shared" si="2"/>
        <v>0</v>
      </c>
      <c r="AM35" s="842"/>
      <c r="AN35" s="842"/>
      <c r="AO35" s="870" t="e">
        <f t="shared" si="3"/>
        <v>#DIV/0!</v>
      </c>
      <c r="AP35" s="849"/>
      <c r="AQ35" s="844">
        <f t="shared" si="4"/>
        <v>0</v>
      </c>
      <c r="AR35" s="835" t="e">
        <f t="shared" si="5"/>
        <v>#DIV/0!</v>
      </c>
      <c r="AS35" s="871"/>
      <c r="AT35" s="494"/>
      <c r="AU35" s="493" t="s">
        <v>109</v>
      </c>
      <c r="AV35" s="846" t="s">
        <v>2305</v>
      </c>
      <c r="AW35" s="847"/>
      <c r="AX35" s="847"/>
      <c r="BB35" s="1037"/>
      <c r="BD35" s="1037"/>
    </row>
    <row r="36" spans="1:56" ht="38.25" x14ac:dyDescent="0.25">
      <c r="A36" s="827" t="s">
        <v>2308</v>
      </c>
      <c r="B36" s="893" t="s">
        <v>2309</v>
      </c>
      <c r="C36" s="828">
        <v>1</v>
      </c>
      <c r="D36" s="828">
        <v>1</v>
      </c>
      <c r="E36" s="828">
        <v>1</v>
      </c>
      <c r="F36" s="828">
        <v>1</v>
      </c>
      <c r="G36" s="828">
        <v>1</v>
      </c>
      <c r="H36" s="828">
        <v>1</v>
      </c>
      <c r="I36" s="920">
        <v>1</v>
      </c>
      <c r="J36" s="920"/>
      <c r="K36" s="921">
        <f>IF((G36+J36)/C36&gt;=100%,100%,(G36+J36)/C36)</f>
        <v>1</v>
      </c>
      <c r="L36" s="922">
        <f>IF(H36/D36&gt;=100%,100%,H36/D36)</f>
        <v>1</v>
      </c>
      <c r="M36" s="922">
        <f>IF(I36/E36&gt;=100%,100%,I36/E36)</f>
        <v>1</v>
      </c>
      <c r="N36" s="872" t="s">
        <v>2537</v>
      </c>
      <c r="O36" s="872"/>
      <c r="P36" s="832" t="s">
        <v>75</v>
      </c>
      <c r="Q36" s="923"/>
      <c r="R36" s="832" t="s">
        <v>2521</v>
      </c>
      <c r="S36" s="872"/>
      <c r="T36" s="872"/>
      <c r="U36" s="872"/>
      <c r="V36" s="924"/>
      <c r="W36" s="872"/>
      <c r="X36" s="872">
        <v>4</v>
      </c>
      <c r="Y36" s="835">
        <f>SUM(G36:I36)</f>
        <v>3</v>
      </c>
      <c r="Z36" s="836">
        <f t="shared" si="8"/>
        <v>0.75</v>
      </c>
      <c r="AA36" s="837">
        <v>0.33</v>
      </c>
      <c r="AB36" s="838">
        <v>0.5</v>
      </c>
      <c r="AC36" s="838">
        <v>1</v>
      </c>
      <c r="AD36" s="879">
        <f>+'Anexo 5.2-A. Gastos Rev'!CD32</f>
        <v>0</v>
      </c>
      <c r="AE36" s="875"/>
      <c r="AF36" s="874">
        <v>0</v>
      </c>
      <c r="AG36" s="1021">
        <f>+'Anexo 5.2-A. Gastos Rev'!CE32</f>
        <v>0</v>
      </c>
      <c r="AH36" s="876" t="e">
        <f t="shared" si="0"/>
        <v>#DIV/0!</v>
      </c>
      <c r="AI36" s="877">
        <f>+'Anexo 5.2-A. Gastos Rev'!CF32</f>
        <v>0</v>
      </c>
      <c r="AJ36" s="877">
        <f>+'Anexo 5.2-A. Gastos Rev'!CG32</f>
        <v>0</v>
      </c>
      <c r="AK36" s="989" t="e">
        <f t="shared" si="1"/>
        <v>#DIV/0!</v>
      </c>
      <c r="AL36" s="877">
        <f t="shared" si="2"/>
        <v>0</v>
      </c>
      <c r="AM36" s="877"/>
      <c r="AN36" s="877"/>
      <c r="AO36" s="843" t="e">
        <f t="shared" si="3"/>
        <v>#DIV/0!</v>
      </c>
      <c r="AP36" s="874"/>
      <c r="AQ36" s="879">
        <f t="shared" si="4"/>
        <v>0</v>
      </c>
      <c r="AR36" s="878" t="e">
        <f t="shared" si="5"/>
        <v>#DIV/0!</v>
      </c>
      <c r="AS36" s="880"/>
      <c r="AT36" s="494"/>
      <c r="AU36" s="493" t="s">
        <v>109</v>
      </c>
      <c r="AV36" s="846" t="s">
        <v>2305</v>
      </c>
      <c r="AW36" s="847"/>
      <c r="AX36" s="847"/>
      <c r="BB36" s="1037"/>
      <c r="BD36" s="1037"/>
    </row>
    <row r="37" spans="1:56" ht="38.25" x14ac:dyDescent="0.25">
      <c r="A37" s="912" t="s">
        <v>2159</v>
      </c>
      <c r="B37" s="787"/>
      <c r="C37" s="788"/>
      <c r="D37" s="788"/>
      <c r="E37" s="788"/>
      <c r="F37" s="788"/>
      <c r="G37" s="788"/>
      <c r="H37" s="788"/>
      <c r="I37" s="788"/>
      <c r="J37" s="788"/>
      <c r="K37" s="795">
        <f>+(K38*AA38)+(K47*AA47)</f>
        <v>0.56000000000000005</v>
      </c>
      <c r="L37" s="789">
        <f>+(L38*AB38)+(L47*AB47)</f>
        <v>0.8</v>
      </c>
      <c r="M37" s="789">
        <f>+(M38*AC38)+(M47*AC47)</f>
        <v>0.95781249999999996</v>
      </c>
      <c r="N37" s="790"/>
      <c r="O37" s="790"/>
      <c r="P37" s="790"/>
      <c r="Q37" s="791"/>
      <c r="R37" s="791"/>
      <c r="S37" s="790"/>
      <c r="T37" s="790"/>
      <c r="U37" s="790"/>
      <c r="V37" s="914"/>
      <c r="W37" s="790"/>
      <c r="X37" s="790"/>
      <c r="Y37" s="791"/>
      <c r="Z37" s="793">
        <f>+(Z38*AA38)+(Z47*AA47)</f>
        <v>0.65013643262828036</v>
      </c>
      <c r="AA37" s="794">
        <v>0.3</v>
      </c>
      <c r="AB37" s="795">
        <v>0.3</v>
      </c>
      <c r="AC37" s="795">
        <v>0.3</v>
      </c>
      <c r="AD37" s="796">
        <f>+'Anexo 5.2-A. Gastos Rev'!CD33</f>
        <v>4801365000</v>
      </c>
      <c r="AE37" s="925">
        <f t="shared" ref="AE37" si="23">+AE38+AE47</f>
        <v>2208273597.3599997</v>
      </c>
      <c r="AF37" s="796">
        <f>+AF38+AF47</f>
        <v>3510785473.04</v>
      </c>
      <c r="AG37" s="796">
        <f>+'Anexo 5.2-A. Gastos Rev'!CE33</f>
        <v>4750328909.7200003</v>
      </c>
      <c r="AH37" s="797">
        <f t="shared" si="0"/>
        <v>0.98937050395460469</v>
      </c>
      <c r="AI37" s="796">
        <f>+'Anexo 5.2-A. Gastos Rev'!CF33</f>
        <v>2596688205</v>
      </c>
      <c r="AJ37" s="796">
        <f>+'Anexo 5.2-A. Gastos Rev'!CG33</f>
        <v>2395210350</v>
      </c>
      <c r="AK37" s="789">
        <f t="shared" si="1"/>
        <v>0.5466333498900936</v>
      </c>
      <c r="AL37" s="796">
        <f t="shared" si="2"/>
        <v>2153640704.7200003</v>
      </c>
      <c r="AM37" s="796">
        <f>+AM38+AM47</f>
        <v>0</v>
      </c>
      <c r="AN37" s="796">
        <f>+AN38+AN47</f>
        <v>0</v>
      </c>
      <c r="AO37" s="799" t="e">
        <f t="shared" si="3"/>
        <v>#DIV/0!</v>
      </c>
      <c r="AP37" s="916">
        <f t="shared" ref="AP37" si="24">+AP38+AP47</f>
        <v>17678034566</v>
      </c>
      <c r="AQ37" s="917">
        <f t="shared" si="4"/>
        <v>10469387980.119999</v>
      </c>
      <c r="AR37" s="918">
        <f t="shared" si="5"/>
        <v>0.59222578963928918</v>
      </c>
      <c r="AS37" s="919"/>
      <c r="AT37" s="802" t="s">
        <v>82</v>
      </c>
      <c r="AU37" s="803"/>
      <c r="AV37" s="804"/>
      <c r="AW37" s="805"/>
      <c r="AX37" s="805"/>
      <c r="BB37" s="1037"/>
      <c r="BD37" s="1037"/>
    </row>
    <row r="38" spans="1:56" ht="25.5" x14ac:dyDescent="0.25">
      <c r="A38" s="806" t="s">
        <v>2160</v>
      </c>
      <c r="B38" s="807"/>
      <c r="C38" s="808"/>
      <c r="D38" s="808"/>
      <c r="E38" s="808"/>
      <c r="F38" s="808"/>
      <c r="G38" s="808"/>
      <c r="H38" s="808"/>
      <c r="I38" s="808"/>
      <c r="J38" s="808"/>
      <c r="K38" s="809">
        <f>+(K39*AA39)+(K40*AA40)+(K41*AA41)+(K42*AA42)+(K43*AA43)+(K44*AA44)+(K45*AA45)+(K46*AA46)</f>
        <v>0.75</v>
      </c>
      <c r="L38" s="810">
        <f>+(L39*AB39)+(L40*AB40)+(L41*AB41)+(L42*AB42)+(L43*AB43)+(L44*AB44)+(L45*AB45)+(L46*AB46)</f>
        <v>0.8600000000000001</v>
      </c>
      <c r="M38" s="810">
        <f>+(M39*AC39)+(M40*AC40)+(M41*AC41)+(M42*AC42)+(M43*AC43)+(M44*AC44)+(M45*AC45)+(M46*AC46)</f>
        <v>0.91562500000000002</v>
      </c>
      <c r="N38" s="811"/>
      <c r="O38" s="811"/>
      <c r="P38" s="811"/>
      <c r="Q38" s="812"/>
      <c r="R38" s="812"/>
      <c r="S38" s="811"/>
      <c r="T38" s="811"/>
      <c r="U38" s="811"/>
      <c r="V38" s="855"/>
      <c r="W38" s="811"/>
      <c r="X38" s="811"/>
      <c r="Y38" s="812"/>
      <c r="Z38" s="814">
        <f>+(Z39*AA39)+(Z40*AA40)+(Z41*AA41)+(Z42*AA42)+(Z43*AA43)+(Z44*AA44)+(Z45*AA45)+(Z46*AA46)</f>
        <v>0.6212511261261261</v>
      </c>
      <c r="AA38" s="815">
        <v>0.5</v>
      </c>
      <c r="AB38" s="809">
        <v>0.5</v>
      </c>
      <c r="AC38" s="809">
        <v>0.5</v>
      </c>
      <c r="AD38" s="816">
        <f>+'Anexo 5.2-A. Gastos Rev'!CD34</f>
        <v>4002665000</v>
      </c>
      <c r="AE38" s="817">
        <v>2137051468.8599999</v>
      </c>
      <c r="AF38" s="816">
        <f>+SUM(AF39:AF46)</f>
        <v>2496912806.3800001</v>
      </c>
      <c r="AG38" s="819">
        <f>+'Anexo 5.2-A. Gastos Rev'!CE34</f>
        <v>4001711309.7200003</v>
      </c>
      <c r="AH38" s="818">
        <f t="shared" si="0"/>
        <v>0.99976173617327457</v>
      </c>
      <c r="AI38" s="816">
        <f>+'Anexo 5.2-A. Gastos Rev'!CF34</f>
        <v>2411249405</v>
      </c>
      <c r="AJ38" s="816">
        <f>+'Anexo 5.2-A. Gastos Rev'!CG34</f>
        <v>2395210350</v>
      </c>
      <c r="AK38" s="810">
        <f t="shared" si="1"/>
        <v>0.60255456188035594</v>
      </c>
      <c r="AL38" s="816">
        <f t="shared" si="2"/>
        <v>1590461904.7200003</v>
      </c>
      <c r="AM38" s="816">
        <f>+SUM(AM39:AM46)</f>
        <v>0</v>
      </c>
      <c r="AN38" s="816">
        <f>+SUM(AN39:AN46)</f>
        <v>0</v>
      </c>
      <c r="AO38" s="820" t="e">
        <f t="shared" si="3"/>
        <v>#DIV/0!</v>
      </c>
      <c r="AP38" s="858">
        <v>14858034566</v>
      </c>
      <c r="AQ38" s="860">
        <f t="shared" si="4"/>
        <v>8635675584.9599991</v>
      </c>
      <c r="AR38" s="881">
        <f t="shared" si="5"/>
        <v>0.58121251142605523</v>
      </c>
      <c r="AS38" s="861"/>
      <c r="AT38" s="823"/>
      <c r="AU38" s="824"/>
      <c r="AV38" s="825"/>
      <c r="AW38" s="826"/>
      <c r="AX38" s="826"/>
      <c r="BB38" s="1037"/>
      <c r="BD38" s="1037"/>
    </row>
    <row r="39" spans="1:56" ht="38.25" x14ac:dyDescent="0.25">
      <c r="A39" s="827" t="s">
        <v>2310</v>
      </c>
      <c r="B39" s="893" t="s">
        <v>2311</v>
      </c>
      <c r="C39" s="828">
        <v>1</v>
      </c>
      <c r="D39" s="828">
        <v>1</v>
      </c>
      <c r="E39" s="828">
        <v>0</v>
      </c>
      <c r="F39" s="828">
        <v>0</v>
      </c>
      <c r="G39" s="828">
        <v>1</v>
      </c>
      <c r="H39" s="828">
        <v>1</v>
      </c>
      <c r="I39" s="828">
        <v>0</v>
      </c>
      <c r="J39" s="828"/>
      <c r="K39" s="838">
        <f>IF((G39+J39)/C39&gt;=100%,100%,(G39+J39)/C39)</f>
        <v>1</v>
      </c>
      <c r="L39" s="830">
        <f>IF(H39/D39&gt;=100%,100%,H39/D39)</f>
        <v>1</v>
      </c>
      <c r="M39" s="830">
        <v>0</v>
      </c>
      <c r="N39" s="390"/>
      <c r="O39" s="390"/>
      <c r="P39" s="831"/>
      <c r="Q39" s="832"/>
      <c r="R39" s="518"/>
      <c r="S39" s="390"/>
      <c r="T39" s="390"/>
      <c r="U39" s="390"/>
      <c r="V39" s="833"/>
      <c r="W39" s="390"/>
      <c r="X39" s="390">
        <v>2</v>
      </c>
      <c r="Y39" s="835">
        <f t="shared" ref="Y39:Y46" si="25">SUM(G39:I39)</f>
        <v>2</v>
      </c>
      <c r="Z39" s="836">
        <f t="shared" si="8"/>
        <v>1</v>
      </c>
      <c r="AA39" s="837">
        <v>0.12</v>
      </c>
      <c r="AB39" s="838">
        <v>0.14000000000000001</v>
      </c>
      <c r="AC39" s="838">
        <v>0</v>
      </c>
      <c r="AD39" s="844">
        <f>+'Anexo 5.2-A. Gastos Rev'!CD35</f>
        <v>0</v>
      </c>
      <c r="AE39" s="840"/>
      <c r="AF39" s="844">
        <v>269614320.63999999</v>
      </c>
      <c r="AG39" s="984">
        <f>+'Anexo 5.2-A. Gastos Rev'!CE35</f>
        <v>0</v>
      </c>
      <c r="AH39" s="837" t="e">
        <f t="shared" si="0"/>
        <v>#DIV/0!</v>
      </c>
      <c r="AI39" s="1001">
        <f>+'Anexo 5.2-A. Gastos Rev'!CF35</f>
        <v>0</v>
      </c>
      <c r="AJ39" s="1001">
        <f>+'Anexo 5.2-A. Gastos Rev'!CG35</f>
        <v>0</v>
      </c>
      <c r="AK39" s="1002" t="e">
        <f t="shared" si="1"/>
        <v>#DIV/0!</v>
      </c>
      <c r="AL39" s="926">
        <f t="shared" si="2"/>
        <v>0</v>
      </c>
      <c r="AM39" s="926"/>
      <c r="AN39" s="926"/>
      <c r="AO39" s="843" t="e">
        <f t="shared" si="3"/>
        <v>#DIV/0!</v>
      </c>
      <c r="AP39" s="839"/>
      <c r="AQ39" s="844">
        <f t="shared" si="4"/>
        <v>269614320.63999999</v>
      </c>
      <c r="AR39" s="835" t="e">
        <f t="shared" si="5"/>
        <v>#DIV/0!</v>
      </c>
      <c r="AS39" s="927"/>
      <c r="AT39" s="494"/>
      <c r="AU39" s="493" t="s">
        <v>104</v>
      </c>
      <c r="AV39" s="846" t="s">
        <v>2277</v>
      </c>
      <c r="AW39" s="847"/>
      <c r="AX39" s="847"/>
      <c r="BB39" s="1037"/>
      <c r="BD39" s="1037"/>
    </row>
    <row r="40" spans="1:56" ht="76.5" x14ac:dyDescent="0.25">
      <c r="A40" s="827" t="s">
        <v>2312</v>
      </c>
      <c r="B40" s="893" t="s">
        <v>2313</v>
      </c>
      <c r="C40" s="828">
        <v>0</v>
      </c>
      <c r="D40" s="828">
        <v>0</v>
      </c>
      <c r="E40" s="828">
        <v>1</v>
      </c>
      <c r="F40" s="828">
        <v>1</v>
      </c>
      <c r="G40" s="828">
        <v>0</v>
      </c>
      <c r="H40" s="828">
        <v>0</v>
      </c>
      <c r="I40" s="828">
        <v>1</v>
      </c>
      <c r="J40" s="828"/>
      <c r="K40" s="838">
        <v>0</v>
      </c>
      <c r="L40" s="830">
        <v>0</v>
      </c>
      <c r="M40" s="830">
        <v>1</v>
      </c>
      <c r="N40" s="390" t="s">
        <v>2538</v>
      </c>
      <c r="O40" s="390"/>
      <c r="P40" s="832" t="s">
        <v>75</v>
      </c>
      <c r="Q40" s="832"/>
      <c r="R40" s="832" t="s">
        <v>2521</v>
      </c>
      <c r="S40" s="390" t="s">
        <v>2539</v>
      </c>
      <c r="T40" s="390"/>
      <c r="U40" s="390"/>
      <c r="V40" s="833"/>
      <c r="W40" s="390"/>
      <c r="X40" s="390">
        <v>2</v>
      </c>
      <c r="Y40" s="835">
        <f t="shared" si="25"/>
        <v>1</v>
      </c>
      <c r="Z40" s="836">
        <f t="shared" si="8"/>
        <v>0.5</v>
      </c>
      <c r="AA40" s="837">
        <v>0.13</v>
      </c>
      <c r="AB40" s="838">
        <v>0</v>
      </c>
      <c r="AC40" s="838">
        <v>0.14000000000000001</v>
      </c>
      <c r="AD40" s="844">
        <f>+'Anexo 5.2-A. Gastos Rev'!CD36</f>
        <v>14000000</v>
      </c>
      <c r="AE40" s="840"/>
      <c r="AF40" s="844">
        <v>0</v>
      </c>
      <c r="AG40" s="984">
        <f>+'Anexo 5.2-A. Gastos Rev'!CE36</f>
        <v>14000000</v>
      </c>
      <c r="AH40" s="837">
        <f t="shared" ref="AH40:AH71" si="26">+AG40/AD40</f>
        <v>1</v>
      </c>
      <c r="AI40" s="1001">
        <f>+'Anexo 5.2-A. Gastos Rev'!CF36</f>
        <v>0</v>
      </c>
      <c r="AJ40" s="1001">
        <f>+'Anexo 5.2-A. Gastos Rev'!CG36</f>
        <v>0</v>
      </c>
      <c r="AK40" s="1002">
        <f t="shared" si="1"/>
        <v>0</v>
      </c>
      <c r="AL40" s="926">
        <f t="shared" si="2"/>
        <v>14000000</v>
      </c>
      <c r="AM40" s="926"/>
      <c r="AN40" s="926"/>
      <c r="AO40" s="843" t="e">
        <f t="shared" si="3"/>
        <v>#DIV/0!</v>
      </c>
      <c r="AP40" s="839"/>
      <c r="AQ40" s="844">
        <f t="shared" si="4"/>
        <v>14000000</v>
      </c>
      <c r="AR40" s="835" t="e">
        <f t="shared" si="5"/>
        <v>#DIV/0!</v>
      </c>
      <c r="AS40" s="927"/>
      <c r="AT40" s="494"/>
      <c r="AU40" s="493" t="s">
        <v>104</v>
      </c>
      <c r="AV40" s="846" t="s">
        <v>2277</v>
      </c>
      <c r="AW40" s="847"/>
      <c r="AX40" s="847"/>
      <c r="BB40" s="1037"/>
      <c r="BD40" s="1037"/>
    </row>
    <row r="41" spans="1:56" ht="38.25" x14ac:dyDescent="0.25">
      <c r="A41" s="827" t="s">
        <v>2314</v>
      </c>
      <c r="B41" s="893" t="s">
        <v>2315</v>
      </c>
      <c r="C41" s="828">
        <v>20</v>
      </c>
      <c r="D41" s="828">
        <v>40</v>
      </c>
      <c r="E41" s="828">
        <v>80</v>
      </c>
      <c r="F41" s="828">
        <v>10</v>
      </c>
      <c r="G41" s="828">
        <v>20</v>
      </c>
      <c r="H41" s="828">
        <v>40</v>
      </c>
      <c r="I41" s="828">
        <v>35</v>
      </c>
      <c r="J41" s="828"/>
      <c r="K41" s="838">
        <f t="shared" ref="K41:K46" si="27">IF((G41+J41)/C41&gt;=100%,100%,(G41+J41)/C41)</f>
        <v>1</v>
      </c>
      <c r="L41" s="830">
        <f t="shared" ref="L41:M46" si="28">IF(H41/D41&gt;=100%,100%,H41/D41)</f>
        <v>1</v>
      </c>
      <c r="M41" s="830">
        <f t="shared" si="28"/>
        <v>0.4375</v>
      </c>
      <c r="N41" s="390" t="s">
        <v>2540</v>
      </c>
      <c r="O41" s="390"/>
      <c r="P41" s="832" t="s">
        <v>75</v>
      </c>
      <c r="Q41" s="832"/>
      <c r="R41" s="832" t="s">
        <v>2521</v>
      </c>
      <c r="S41" s="390"/>
      <c r="T41" s="390"/>
      <c r="U41" s="390"/>
      <c r="V41" s="833"/>
      <c r="W41" s="390"/>
      <c r="X41" s="390">
        <v>240</v>
      </c>
      <c r="Y41" s="835">
        <f t="shared" si="25"/>
        <v>95</v>
      </c>
      <c r="Z41" s="836">
        <f t="shared" si="8"/>
        <v>0.39583333333333331</v>
      </c>
      <c r="AA41" s="837">
        <v>0.13</v>
      </c>
      <c r="AB41" s="838">
        <v>0.15</v>
      </c>
      <c r="AC41" s="838">
        <v>0.15</v>
      </c>
      <c r="AD41" s="844">
        <f>+'Anexo 5.2-A. Gastos Rev'!CD37</f>
        <v>452665000</v>
      </c>
      <c r="AE41" s="840"/>
      <c r="AF41" s="844">
        <v>404170855.44999999</v>
      </c>
      <c r="AG41" s="984">
        <f>+'Anexo 5.2-A. Gastos Rev'!CE37</f>
        <v>452665000</v>
      </c>
      <c r="AH41" s="837">
        <f t="shared" si="26"/>
        <v>1</v>
      </c>
      <c r="AI41" s="1001">
        <f>+'Anexo 5.2-A. Gastos Rev'!CF37</f>
        <v>133122000</v>
      </c>
      <c r="AJ41" s="1001">
        <f>+'Anexo 5.2-A. Gastos Rev'!CG37</f>
        <v>133122000</v>
      </c>
      <c r="AK41" s="1002">
        <f t="shared" si="1"/>
        <v>0.29408502976815082</v>
      </c>
      <c r="AL41" s="1001">
        <f t="shared" si="2"/>
        <v>319543000</v>
      </c>
      <c r="AM41" s="926"/>
      <c r="AN41" s="926"/>
      <c r="AO41" s="843" t="e">
        <f t="shared" si="3"/>
        <v>#DIV/0!</v>
      </c>
      <c r="AP41" s="839"/>
      <c r="AQ41" s="844">
        <f t="shared" si="4"/>
        <v>856835855.45000005</v>
      </c>
      <c r="AR41" s="835" t="e">
        <f t="shared" si="5"/>
        <v>#DIV/0!</v>
      </c>
      <c r="AS41" s="927"/>
      <c r="AT41" s="494"/>
      <c r="AU41" s="493" t="s">
        <v>104</v>
      </c>
      <c r="AV41" s="846" t="s">
        <v>2277</v>
      </c>
      <c r="AW41" s="847"/>
      <c r="AX41" s="847"/>
      <c r="BB41" s="1037"/>
      <c r="BD41" s="1037"/>
    </row>
    <row r="42" spans="1:56" ht="76.5" x14ac:dyDescent="0.25">
      <c r="A42" s="827" t="s">
        <v>2316</v>
      </c>
      <c r="B42" s="893" t="s">
        <v>2315</v>
      </c>
      <c r="C42" s="828">
        <v>20</v>
      </c>
      <c r="D42" s="828">
        <v>40</v>
      </c>
      <c r="E42" s="828">
        <v>40</v>
      </c>
      <c r="F42" s="828">
        <v>25</v>
      </c>
      <c r="G42" s="828">
        <v>20</v>
      </c>
      <c r="H42" s="828">
        <v>40</v>
      </c>
      <c r="I42" s="828">
        <v>40</v>
      </c>
      <c r="J42" s="828"/>
      <c r="K42" s="838">
        <f t="shared" si="27"/>
        <v>1</v>
      </c>
      <c r="L42" s="830">
        <f t="shared" si="28"/>
        <v>1</v>
      </c>
      <c r="M42" s="830">
        <f t="shared" si="28"/>
        <v>1</v>
      </c>
      <c r="N42" s="390" t="s">
        <v>2541</v>
      </c>
      <c r="O42" s="390"/>
      <c r="P42" s="832" t="s">
        <v>75</v>
      </c>
      <c r="Q42" s="832"/>
      <c r="R42" s="832" t="s">
        <v>2521</v>
      </c>
      <c r="S42" s="390"/>
      <c r="T42" s="390"/>
      <c r="U42" s="390"/>
      <c r="V42" s="833"/>
      <c r="W42" s="390"/>
      <c r="X42" s="390">
        <v>150</v>
      </c>
      <c r="Y42" s="835">
        <f t="shared" si="25"/>
        <v>100</v>
      </c>
      <c r="Z42" s="836">
        <f t="shared" si="8"/>
        <v>0.66666666666666663</v>
      </c>
      <c r="AA42" s="837">
        <v>0.13</v>
      </c>
      <c r="AB42" s="838">
        <v>0.15</v>
      </c>
      <c r="AC42" s="838">
        <v>0.15</v>
      </c>
      <c r="AD42" s="844">
        <f>+'Anexo 5.2-A. Gastos Rev'!CD38</f>
        <v>900000000</v>
      </c>
      <c r="AE42" s="840"/>
      <c r="AF42" s="844">
        <v>261040000</v>
      </c>
      <c r="AG42" s="984">
        <f>+'Anexo 5.2-A. Gastos Rev'!CE38</f>
        <v>900000000</v>
      </c>
      <c r="AH42" s="837">
        <f t="shared" si="26"/>
        <v>1</v>
      </c>
      <c r="AI42" s="1001">
        <f>+'Anexo 5.2-A. Gastos Rev'!CF38</f>
        <v>818822549.88000011</v>
      </c>
      <c r="AJ42" s="1001">
        <f>+'Anexo 5.2-A. Gastos Rev'!CG38</f>
        <v>802783494.25999999</v>
      </c>
      <c r="AK42" s="1002">
        <f t="shared" si="1"/>
        <v>0.90980283320000011</v>
      </c>
      <c r="AL42" s="1001">
        <f t="shared" si="2"/>
        <v>81177450.119999886</v>
      </c>
      <c r="AM42" s="926"/>
      <c r="AN42" s="926"/>
      <c r="AO42" s="843" t="e">
        <f t="shared" si="3"/>
        <v>#DIV/0!</v>
      </c>
      <c r="AP42" s="839"/>
      <c r="AQ42" s="844">
        <f t="shared" si="4"/>
        <v>1161040000</v>
      </c>
      <c r="AR42" s="835" t="e">
        <f t="shared" si="5"/>
        <v>#DIV/0!</v>
      </c>
      <c r="AS42" s="927"/>
      <c r="AT42" s="494"/>
      <c r="AU42" s="493" t="s">
        <v>104</v>
      </c>
      <c r="AV42" s="846" t="s">
        <v>2317</v>
      </c>
      <c r="AW42" s="847"/>
      <c r="AX42" s="847"/>
      <c r="BB42" s="1037"/>
      <c r="BD42" s="1037"/>
    </row>
    <row r="43" spans="1:56" ht="25.5" x14ac:dyDescent="0.25">
      <c r="A43" s="827" t="s">
        <v>2318</v>
      </c>
      <c r="B43" s="893" t="s">
        <v>2315</v>
      </c>
      <c r="C43" s="828">
        <v>20</v>
      </c>
      <c r="D43" s="828">
        <v>38</v>
      </c>
      <c r="E43" s="828">
        <v>40</v>
      </c>
      <c r="F43" s="828">
        <v>25</v>
      </c>
      <c r="G43" s="828">
        <v>20</v>
      </c>
      <c r="H43" s="828">
        <v>38</v>
      </c>
      <c r="I43" s="828">
        <v>40</v>
      </c>
      <c r="J43" s="828"/>
      <c r="K43" s="838">
        <f t="shared" si="27"/>
        <v>1</v>
      </c>
      <c r="L43" s="830">
        <f t="shared" si="28"/>
        <v>1</v>
      </c>
      <c r="M43" s="830">
        <f t="shared" si="28"/>
        <v>1</v>
      </c>
      <c r="N43" s="390" t="s">
        <v>2541</v>
      </c>
      <c r="O43" s="390"/>
      <c r="P43" s="832" t="s">
        <v>75</v>
      </c>
      <c r="Q43" s="832"/>
      <c r="R43" s="832" t="s">
        <v>2521</v>
      </c>
      <c r="S43" s="390"/>
      <c r="T43" s="390"/>
      <c r="U43" s="390"/>
      <c r="V43" s="833"/>
      <c r="W43" s="390"/>
      <c r="X43" s="390">
        <v>148</v>
      </c>
      <c r="Y43" s="835">
        <f t="shared" si="25"/>
        <v>98</v>
      </c>
      <c r="Z43" s="836">
        <f t="shared" si="8"/>
        <v>0.66216216216216217</v>
      </c>
      <c r="AA43" s="837">
        <v>0.12</v>
      </c>
      <c r="AB43" s="838">
        <v>0.14000000000000001</v>
      </c>
      <c r="AC43" s="838">
        <v>0.28000000000000003</v>
      </c>
      <c r="AD43" s="844">
        <f>+'Anexo 5.2-A. Gastos Rev'!CD39</f>
        <v>200000000</v>
      </c>
      <c r="AE43" s="840"/>
      <c r="AF43" s="844">
        <v>261040000</v>
      </c>
      <c r="AG43" s="984">
        <f>+'Anexo 5.2-A. Gastos Rev'!CE39</f>
        <v>200000000</v>
      </c>
      <c r="AH43" s="837">
        <f t="shared" si="26"/>
        <v>1</v>
      </c>
      <c r="AI43" s="1001">
        <f>+'Anexo 5.2-A. Gastos Rev'!CF39</f>
        <v>200000000</v>
      </c>
      <c r="AJ43" s="1001">
        <f>+'Anexo 5.2-A. Gastos Rev'!CG39</f>
        <v>200000000</v>
      </c>
      <c r="AK43" s="1002">
        <f t="shared" si="1"/>
        <v>1</v>
      </c>
      <c r="AL43" s="1001">
        <f t="shared" si="2"/>
        <v>0</v>
      </c>
      <c r="AM43" s="926"/>
      <c r="AN43" s="926"/>
      <c r="AO43" s="843" t="e">
        <f t="shared" si="3"/>
        <v>#DIV/0!</v>
      </c>
      <c r="AP43" s="839"/>
      <c r="AQ43" s="844">
        <f t="shared" si="4"/>
        <v>461040000</v>
      </c>
      <c r="AR43" s="835" t="e">
        <f t="shared" si="5"/>
        <v>#DIV/0!</v>
      </c>
      <c r="AS43" s="927"/>
      <c r="AT43" s="494"/>
      <c r="AU43" s="493" t="s">
        <v>104</v>
      </c>
      <c r="AV43" s="846" t="s">
        <v>2317</v>
      </c>
      <c r="AW43" s="847"/>
      <c r="AX43" s="847"/>
      <c r="BB43" s="1037"/>
      <c r="BD43" s="1037"/>
    </row>
    <row r="44" spans="1:56" ht="51" x14ac:dyDescent="0.25">
      <c r="A44" s="827" t="s">
        <v>2319</v>
      </c>
      <c r="B44" s="893" t="s">
        <v>2320</v>
      </c>
      <c r="C44" s="828">
        <v>10</v>
      </c>
      <c r="D44" s="828">
        <v>10</v>
      </c>
      <c r="E44" s="837">
        <v>0.3</v>
      </c>
      <c r="F44" s="837">
        <v>0</v>
      </c>
      <c r="G44" s="851">
        <v>10</v>
      </c>
      <c r="H44" s="851">
        <v>0</v>
      </c>
      <c r="I44" s="851">
        <v>0</v>
      </c>
      <c r="J44" s="828"/>
      <c r="K44" s="838">
        <f t="shared" si="27"/>
        <v>1</v>
      </c>
      <c r="L44" s="830">
        <f t="shared" si="28"/>
        <v>0</v>
      </c>
      <c r="M44" s="830">
        <f t="shared" si="28"/>
        <v>0</v>
      </c>
      <c r="N44" s="390"/>
      <c r="O44" s="390"/>
      <c r="P44" s="831"/>
      <c r="Q44" s="832"/>
      <c r="R44" s="518"/>
      <c r="S44" s="390"/>
      <c r="T44" s="390"/>
      <c r="U44" s="390"/>
      <c r="V44" s="833"/>
      <c r="W44" s="390"/>
      <c r="X44" s="390">
        <v>100</v>
      </c>
      <c r="Y44" s="835">
        <f t="shared" si="25"/>
        <v>10</v>
      </c>
      <c r="Z44" s="836">
        <f t="shared" si="8"/>
        <v>0.1</v>
      </c>
      <c r="AA44" s="837">
        <v>0.12</v>
      </c>
      <c r="AB44" s="838">
        <v>0.14000000000000001</v>
      </c>
      <c r="AC44" s="838">
        <v>0</v>
      </c>
      <c r="AD44" s="1001">
        <f>+'Anexo 5.2-A. Gastos Rev'!CD40</f>
        <v>236000000</v>
      </c>
      <c r="AE44" s="840"/>
      <c r="AF44" s="844">
        <v>0</v>
      </c>
      <c r="AG44" s="984">
        <f>+'Anexo 5.2-A. Gastos Rev'!CE40</f>
        <v>235046309.72</v>
      </c>
      <c r="AH44" s="837">
        <f t="shared" si="26"/>
        <v>0.99595893949152536</v>
      </c>
      <c r="AI44" s="1001">
        <f>+'Anexo 5.2-A. Gastos Rev'!CF40</f>
        <v>0</v>
      </c>
      <c r="AJ44" s="1001">
        <f>+'Anexo 5.2-A. Gastos Rev'!CG40</f>
        <v>0</v>
      </c>
      <c r="AK44" s="1002">
        <f t="shared" si="1"/>
        <v>0</v>
      </c>
      <c r="AL44" s="1001">
        <f t="shared" si="2"/>
        <v>235046309.72</v>
      </c>
      <c r="AM44" s="926"/>
      <c r="AN44" s="926"/>
      <c r="AO44" s="843" t="e">
        <f t="shared" si="3"/>
        <v>#DIV/0!</v>
      </c>
      <c r="AP44" s="839"/>
      <c r="AQ44" s="844">
        <f t="shared" si="4"/>
        <v>235046309.72</v>
      </c>
      <c r="AR44" s="835" t="e">
        <f t="shared" si="5"/>
        <v>#DIV/0!</v>
      </c>
      <c r="AS44" s="927"/>
      <c r="AT44" s="494"/>
      <c r="AU44" s="493" t="s">
        <v>102</v>
      </c>
      <c r="AV44" s="846" t="s">
        <v>2321</v>
      </c>
      <c r="AW44" s="847"/>
      <c r="AX44" s="847"/>
      <c r="BB44" s="1037"/>
      <c r="BD44" s="1037"/>
    </row>
    <row r="45" spans="1:56" ht="38.25" x14ac:dyDescent="0.25">
      <c r="A45" s="827" t="s">
        <v>2322</v>
      </c>
      <c r="B45" s="893" t="s">
        <v>2323</v>
      </c>
      <c r="C45" s="828">
        <v>1000</v>
      </c>
      <c r="D45" s="828">
        <v>1000</v>
      </c>
      <c r="E45" s="828">
        <v>2000</v>
      </c>
      <c r="F45" s="828">
        <v>500</v>
      </c>
      <c r="G45" s="828">
        <v>1000</v>
      </c>
      <c r="H45" s="828">
        <v>1000</v>
      </c>
      <c r="I45" s="828">
        <v>2000</v>
      </c>
      <c r="J45" s="828"/>
      <c r="K45" s="838">
        <f t="shared" si="27"/>
        <v>1</v>
      </c>
      <c r="L45" s="830">
        <f t="shared" si="28"/>
        <v>1</v>
      </c>
      <c r="M45" s="830">
        <f t="shared" si="28"/>
        <v>1</v>
      </c>
      <c r="N45" s="1023" t="s">
        <v>2542</v>
      </c>
      <c r="O45" s="390"/>
      <c r="P45" s="831" t="s">
        <v>2525</v>
      </c>
      <c r="Q45" s="832" t="s">
        <v>2543</v>
      </c>
      <c r="R45" s="518"/>
      <c r="S45" s="390"/>
      <c r="T45" s="390"/>
      <c r="U45" s="390"/>
      <c r="V45" s="833"/>
      <c r="W45" s="390"/>
      <c r="X45" s="390">
        <v>6000</v>
      </c>
      <c r="Y45" s="835">
        <f t="shared" si="25"/>
        <v>4000</v>
      </c>
      <c r="Z45" s="836">
        <f t="shared" si="8"/>
        <v>0.66666666666666663</v>
      </c>
      <c r="AA45" s="837">
        <v>0.13</v>
      </c>
      <c r="AB45" s="838">
        <v>0.15</v>
      </c>
      <c r="AC45" s="838">
        <v>0.15</v>
      </c>
      <c r="AD45" s="844">
        <f>+'Anexo 5.2-A. Gastos Rev'!CD41</f>
        <v>400000000</v>
      </c>
      <c r="AE45" s="840"/>
      <c r="AF45" s="844">
        <v>332527761.80000001</v>
      </c>
      <c r="AG45" s="984">
        <f>+'Anexo 5.2-A. Gastos Rev'!CE41</f>
        <v>400000000</v>
      </c>
      <c r="AH45" s="837">
        <f t="shared" si="26"/>
        <v>1</v>
      </c>
      <c r="AI45" s="1001">
        <f>+'Anexo 5.2-A. Gastos Rev'!CF41</f>
        <v>400000000</v>
      </c>
      <c r="AJ45" s="1001">
        <f>+'Anexo 5.2-A. Gastos Rev'!CG41</f>
        <v>400000000</v>
      </c>
      <c r="AK45" s="1002">
        <f t="shared" si="1"/>
        <v>1</v>
      </c>
      <c r="AL45" s="1001">
        <f t="shared" si="2"/>
        <v>0</v>
      </c>
      <c r="AM45" s="926"/>
      <c r="AN45" s="926"/>
      <c r="AO45" s="843" t="e">
        <f t="shared" si="3"/>
        <v>#DIV/0!</v>
      </c>
      <c r="AP45" s="839"/>
      <c r="AQ45" s="844">
        <f t="shared" si="4"/>
        <v>732527761.79999995</v>
      </c>
      <c r="AR45" s="835" t="e">
        <f t="shared" si="5"/>
        <v>#DIV/0!</v>
      </c>
      <c r="AS45" s="927"/>
      <c r="AT45" s="494"/>
      <c r="AU45" s="493" t="s">
        <v>104</v>
      </c>
      <c r="AV45" s="846" t="s">
        <v>2324</v>
      </c>
      <c r="AW45" s="847"/>
      <c r="AX45" s="847"/>
      <c r="BB45" s="1037"/>
      <c r="BD45" s="1037"/>
    </row>
    <row r="46" spans="1:56" ht="51" x14ac:dyDescent="0.25">
      <c r="A46" s="827" t="s">
        <v>2325</v>
      </c>
      <c r="B46" s="893" t="s">
        <v>2326</v>
      </c>
      <c r="C46" s="828">
        <v>3</v>
      </c>
      <c r="D46" s="828">
        <v>6</v>
      </c>
      <c r="E46" s="828">
        <v>9</v>
      </c>
      <c r="F46" s="828"/>
      <c r="G46" s="828">
        <v>0</v>
      </c>
      <c r="H46" s="828">
        <v>6</v>
      </c>
      <c r="I46" s="828">
        <v>9</v>
      </c>
      <c r="J46" s="828"/>
      <c r="K46" s="838">
        <f t="shared" si="27"/>
        <v>0</v>
      </c>
      <c r="L46" s="830">
        <f t="shared" si="28"/>
        <v>1</v>
      </c>
      <c r="M46" s="830">
        <f t="shared" si="28"/>
        <v>1</v>
      </c>
      <c r="N46" s="390" t="s">
        <v>2544</v>
      </c>
      <c r="O46" s="390"/>
      <c r="P46" s="832" t="s">
        <v>75</v>
      </c>
      <c r="Q46" s="832"/>
      <c r="R46" s="832" t="s">
        <v>2521</v>
      </c>
      <c r="S46" s="390" t="s">
        <v>2545</v>
      </c>
      <c r="T46" s="390"/>
      <c r="U46" s="390"/>
      <c r="V46" s="833"/>
      <c r="W46" s="390"/>
      <c r="X46" s="390">
        <v>9</v>
      </c>
      <c r="Y46" s="835">
        <f t="shared" si="25"/>
        <v>15</v>
      </c>
      <c r="Z46" s="836">
        <f t="shared" si="8"/>
        <v>1</v>
      </c>
      <c r="AA46" s="837">
        <v>0.12</v>
      </c>
      <c r="AB46" s="838">
        <v>0.13</v>
      </c>
      <c r="AC46" s="838">
        <v>0.13</v>
      </c>
      <c r="AD46" s="844">
        <f>+'Anexo 5.2-A. Gastos Rev'!CD42</f>
        <v>1800000000</v>
      </c>
      <c r="AE46" s="840"/>
      <c r="AF46" s="844">
        <v>968519868.49000001</v>
      </c>
      <c r="AG46" s="998">
        <f>+'Anexo 5.2-A. Gastos Rev'!CE42</f>
        <v>1800000000</v>
      </c>
      <c r="AH46" s="837">
        <f t="shared" si="26"/>
        <v>1</v>
      </c>
      <c r="AI46" s="1001">
        <f>+'Anexo 5.2-A. Gastos Rev'!CF42</f>
        <v>859304854.97000003</v>
      </c>
      <c r="AJ46" s="1001">
        <f>+'Anexo 5.2-A. Gastos Rev'!CG42</f>
        <v>859304854.97000003</v>
      </c>
      <c r="AK46" s="1002">
        <f t="shared" si="1"/>
        <v>0.47739158609444449</v>
      </c>
      <c r="AL46" s="1001">
        <f t="shared" si="2"/>
        <v>940695145.02999997</v>
      </c>
      <c r="AM46" s="926"/>
      <c r="AN46" s="926"/>
      <c r="AO46" s="843" t="e">
        <f t="shared" si="3"/>
        <v>#DIV/0!</v>
      </c>
      <c r="AP46" s="839"/>
      <c r="AQ46" s="844">
        <f t="shared" si="4"/>
        <v>2768519868.4899998</v>
      </c>
      <c r="AR46" s="835" t="e">
        <f t="shared" si="5"/>
        <v>#DIV/0!</v>
      </c>
      <c r="AS46" s="927"/>
      <c r="AT46" s="494"/>
      <c r="AU46" s="493" t="s">
        <v>104</v>
      </c>
      <c r="AV46" s="846" t="s">
        <v>2317</v>
      </c>
      <c r="AW46" s="847"/>
      <c r="AX46" s="847"/>
      <c r="BB46" s="1037"/>
      <c r="BD46" s="1037"/>
    </row>
    <row r="47" spans="1:56" x14ac:dyDescent="0.25">
      <c r="A47" s="806" t="s">
        <v>2161</v>
      </c>
      <c r="B47" s="807"/>
      <c r="C47" s="808"/>
      <c r="D47" s="808"/>
      <c r="E47" s="808"/>
      <c r="F47" s="808"/>
      <c r="G47" s="808"/>
      <c r="H47" s="808"/>
      <c r="I47" s="808"/>
      <c r="J47" s="808"/>
      <c r="K47" s="809">
        <f>+(K48*AA48)+(K49*AA49)+(K50*AA50)+(K51*AA51)+(K52*AA52)+(K53*AA53)</f>
        <v>0.37</v>
      </c>
      <c r="L47" s="810">
        <f>+(L48*AB48)+(L49*AB49)+(L50*AB50)+(L51*AB51)+(L52*AB52)+(L53*AB53)</f>
        <v>0.74</v>
      </c>
      <c r="M47" s="810">
        <f>+(M48*AC48)+(M49*AC49)+(M50*AC50)+(M51*AC51)+(M52*AC52)+(M53*AC53)</f>
        <v>1</v>
      </c>
      <c r="N47" s="811"/>
      <c r="O47" s="811"/>
      <c r="P47" s="811"/>
      <c r="Q47" s="812"/>
      <c r="R47" s="812"/>
      <c r="S47" s="811"/>
      <c r="T47" s="811"/>
      <c r="U47" s="811"/>
      <c r="V47" s="855"/>
      <c r="W47" s="811"/>
      <c r="X47" s="811"/>
      <c r="Y47" s="812"/>
      <c r="Z47" s="814">
        <f>+(Z48*AA48)+(Z49*AA49)+(Z50*AA50)+(Z51*AA51)+(Z52*AA52)+(Z53*AA53)</f>
        <v>0.67902173913043473</v>
      </c>
      <c r="AA47" s="815">
        <v>0.5</v>
      </c>
      <c r="AB47" s="809">
        <v>0.5</v>
      </c>
      <c r="AC47" s="809">
        <v>0.5</v>
      </c>
      <c r="AD47" s="816">
        <f>+'Anexo 5.2-A. Gastos Rev'!CD43</f>
        <v>798700000</v>
      </c>
      <c r="AE47" s="817">
        <v>71222128.5</v>
      </c>
      <c r="AF47" s="816">
        <f>+SUM(AF48:AF53)</f>
        <v>1013872666.66</v>
      </c>
      <c r="AG47" s="819">
        <f>+'Anexo 5.2-A. Gastos Rev'!CE43</f>
        <v>748617600</v>
      </c>
      <c r="AH47" s="818">
        <f t="shared" si="26"/>
        <v>0.9372951045448854</v>
      </c>
      <c r="AI47" s="816">
        <f>+'Anexo 5.2-A. Gastos Rev'!CF43</f>
        <v>185438800</v>
      </c>
      <c r="AJ47" s="816">
        <f>+'Anexo 5.2-A. Gastos Rev'!CG43</f>
        <v>0</v>
      </c>
      <c r="AK47" s="809">
        <f t="shared" si="1"/>
        <v>0.24770830928901486</v>
      </c>
      <c r="AL47" s="816">
        <f t="shared" si="2"/>
        <v>563178800</v>
      </c>
      <c r="AM47" s="816">
        <f t="shared" ref="AM47:AN47" si="29">+SUM(AM48:AM53)</f>
        <v>0</v>
      </c>
      <c r="AN47" s="816">
        <f t="shared" si="29"/>
        <v>0</v>
      </c>
      <c r="AO47" s="820" t="e">
        <f t="shared" si="3"/>
        <v>#DIV/0!</v>
      </c>
      <c r="AP47" s="858">
        <v>2820000000</v>
      </c>
      <c r="AQ47" s="860">
        <f t="shared" si="4"/>
        <v>1833712395.1599998</v>
      </c>
      <c r="AR47" s="881">
        <f t="shared" si="5"/>
        <v>0.65025262239716308</v>
      </c>
      <c r="AS47" s="861"/>
      <c r="AT47" s="823"/>
      <c r="AU47" s="824"/>
      <c r="AV47" s="825"/>
      <c r="AW47" s="826"/>
      <c r="AX47" s="826"/>
      <c r="BB47" s="1037"/>
      <c r="BD47" s="1037"/>
    </row>
    <row r="48" spans="1:56" ht="51" x14ac:dyDescent="0.25">
      <c r="A48" s="827" t="s">
        <v>2327</v>
      </c>
      <c r="B48" s="893" t="s">
        <v>2328</v>
      </c>
      <c r="C48" s="828">
        <v>1</v>
      </c>
      <c r="D48" s="828">
        <v>1</v>
      </c>
      <c r="E48" s="828">
        <v>1</v>
      </c>
      <c r="F48" s="828"/>
      <c r="G48" s="828">
        <v>0</v>
      </c>
      <c r="H48" s="828">
        <v>0</v>
      </c>
      <c r="I48" s="828">
        <v>1</v>
      </c>
      <c r="J48" s="828"/>
      <c r="K48" s="838">
        <f>IF((G48+J48)/C48&gt;=100%,100%,(G48+J48)/C48)</f>
        <v>0</v>
      </c>
      <c r="L48" s="830">
        <f>IF(H48/D48&gt;=100%,100%,H48/D48)</f>
        <v>0</v>
      </c>
      <c r="M48" s="830">
        <f>IF(I48/E48&gt;=100%,100%,I48/E48)</f>
        <v>1</v>
      </c>
      <c r="N48" s="390" t="s">
        <v>2546</v>
      </c>
      <c r="O48" s="390"/>
      <c r="P48" s="832" t="s">
        <v>75</v>
      </c>
      <c r="Q48" s="832"/>
      <c r="R48" s="832" t="s">
        <v>2521</v>
      </c>
      <c r="S48" s="390" t="s">
        <v>2547</v>
      </c>
      <c r="T48" s="390"/>
      <c r="U48" s="390"/>
      <c r="V48" s="833"/>
      <c r="W48" s="390"/>
      <c r="X48" s="390">
        <v>4</v>
      </c>
      <c r="Y48" s="835">
        <f t="shared" ref="Y48:Y53" si="30">SUM(G48:I48)</f>
        <v>1</v>
      </c>
      <c r="Z48" s="836">
        <f t="shared" ref="Z48:Z53" si="31">IF(Y48/X48&gt;=100%,100%,Y48/X48)</f>
        <v>0.25</v>
      </c>
      <c r="AA48" s="837">
        <v>0.2</v>
      </c>
      <c r="AB48" s="838">
        <v>0.26</v>
      </c>
      <c r="AC48" s="838">
        <v>0.13</v>
      </c>
      <c r="AD48" s="844">
        <f>+'Anexo 5.2-A. Gastos Rev'!CD44</f>
        <v>50000000</v>
      </c>
      <c r="AE48" s="840"/>
      <c r="AF48" s="844">
        <v>782952666.65999997</v>
      </c>
      <c r="AG48" s="984">
        <f>+'Anexo 5.2-A. Gastos Rev'!CE44</f>
        <v>50000000</v>
      </c>
      <c r="AH48" s="837">
        <f t="shared" si="26"/>
        <v>1</v>
      </c>
      <c r="AI48" s="1001">
        <f>+'Anexo 5.2-A. Gastos Rev'!CF44</f>
        <v>0</v>
      </c>
      <c r="AJ48" s="1001">
        <f>+'Anexo 5.2-A. Gastos Rev'!CG44</f>
        <v>0</v>
      </c>
      <c r="AK48" s="991">
        <f t="shared" si="1"/>
        <v>0</v>
      </c>
      <c r="AL48" s="1001">
        <f t="shared" si="2"/>
        <v>50000000</v>
      </c>
      <c r="AM48" s="926"/>
      <c r="AN48" s="926"/>
      <c r="AO48" s="843" t="e">
        <f t="shared" si="3"/>
        <v>#DIV/0!</v>
      </c>
      <c r="AP48" s="839"/>
      <c r="AQ48" s="844">
        <f t="shared" si="4"/>
        <v>832952666.65999997</v>
      </c>
      <c r="AR48" s="835" t="e">
        <f t="shared" si="5"/>
        <v>#DIV/0!</v>
      </c>
      <c r="AS48" s="927"/>
      <c r="AT48" s="494"/>
      <c r="AU48" s="493" t="s">
        <v>103</v>
      </c>
      <c r="AV48" s="846" t="s">
        <v>2329</v>
      </c>
      <c r="AW48" s="847"/>
      <c r="AX48" s="847"/>
      <c r="BB48" s="1037"/>
      <c r="BD48" s="1037"/>
    </row>
    <row r="49" spans="1:56" ht="38.25" x14ac:dyDescent="0.25">
      <c r="A49" s="827" t="s">
        <v>2330</v>
      </c>
      <c r="B49" s="893" t="s">
        <v>2331</v>
      </c>
      <c r="C49" s="828">
        <v>0</v>
      </c>
      <c r="D49" s="828">
        <v>0</v>
      </c>
      <c r="E49" s="828">
        <v>1</v>
      </c>
      <c r="F49" s="828"/>
      <c r="G49" s="828">
        <v>0</v>
      </c>
      <c r="H49" s="828">
        <v>0</v>
      </c>
      <c r="I49" s="828">
        <v>1</v>
      </c>
      <c r="J49" s="828"/>
      <c r="K49" s="838">
        <v>0</v>
      </c>
      <c r="L49" s="830">
        <v>0</v>
      </c>
      <c r="M49" s="830">
        <f>IF(I49/E49&gt;=100%,100%,I49/E49)</f>
        <v>1</v>
      </c>
      <c r="N49" s="390"/>
      <c r="O49" s="390"/>
      <c r="P49" s="831"/>
      <c r="Q49" s="832"/>
      <c r="R49" s="518"/>
      <c r="S49" s="390"/>
      <c r="T49" s="390"/>
      <c r="U49" s="390"/>
      <c r="V49" s="833"/>
      <c r="W49" s="390"/>
      <c r="X49" s="390">
        <v>1</v>
      </c>
      <c r="Y49" s="835">
        <f t="shared" si="30"/>
        <v>1</v>
      </c>
      <c r="Z49" s="836">
        <f t="shared" si="31"/>
        <v>1</v>
      </c>
      <c r="AA49" s="837">
        <v>0.13</v>
      </c>
      <c r="AB49" s="838">
        <v>0</v>
      </c>
      <c r="AC49" s="838">
        <v>0.13</v>
      </c>
      <c r="AD49" s="844">
        <f>+'Anexo 5.2-A. Gastos Rev'!CD45</f>
        <v>50000000</v>
      </c>
      <c r="AE49" s="840"/>
      <c r="AF49" s="844">
        <v>0</v>
      </c>
      <c r="AG49" s="984">
        <f>+'Anexo 5.2-A. Gastos Rev'!CE45</f>
        <v>50000000</v>
      </c>
      <c r="AH49" s="837">
        <f t="shared" si="26"/>
        <v>1</v>
      </c>
      <c r="AI49" s="926">
        <f>+'Anexo 5.2-A. Gastos Rev'!CF45</f>
        <v>0</v>
      </c>
      <c r="AJ49" s="926">
        <f>+'Anexo 5.2-A. Gastos Rev'!CG45</f>
        <v>0</v>
      </c>
      <c r="AK49" s="991">
        <f t="shared" si="1"/>
        <v>0</v>
      </c>
      <c r="AL49" s="1001">
        <f t="shared" si="2"/>
        <v>50000000</v>
      </c>
      <c r="AM49" s="926"/>
      <c r="AN49" s="926"/>
      <c r="AO49" s="843" t="e">
        <f t="shared" si="3"/>
        <v>#DIV/0!</v>
      </c>
      <c r="AP49" s="839"/>
      <c r="AQ49" s="844">
        <f t="shared" si="4"/>
        <v>50000000</v>
      </c>
      <c r="AR49" s="835" t="e">
        <f t="shared" si="5"/>
        <v>#DIV/0!</v>
      </c>
      <c r="AS49" s="927"/>
      <c r="AT49" s="494"/>
      <c r="AU49" s="493" t="s">
        <v>98</v>
      </c>
      <c r="AV49" s="846" t="s">
        <v>2277</v>
      </c>
      <c r="AW49" s="847"/>
      <c r="AX49" s="847"/>
      <c r="BB49" s="1037"/>
      <c r="BD49" s="1037"/>
    </row>
    <row r="50" spans="1:56" ht="25.5" x14ac:dyDescent="0.25">
      <c r="A50" s="827" t="s">
        <v>2332</v>
      </c>
      <c r="B50" s="893" t="s">
        <v>2333</v>
      </c>
      <c r="C50" s="828">
        <v>6</v>
      </c>
      <c r="D50" s="828">
        <v>6</v>
      </c>
      <c r="E50" s="828">
        <v>60</v>
      </c>
      <c r="F50" s="828"/>
      <c r="G50" s="828">
        <v>6</v>
      </c>
      <c r="H50" s="828">
        <v>6</v>
      </c>
      <c r="I50" s="828">
        <v>60</v>
      </c>
      <c r="J50" s="828"/>
      <c r="K50" s="838">
        <f>IF((G50+J50)/C50&gt;=100%,100%,(G50+J50)/C50)</f>
        <v>1</v>
      </c>
      <c r="L50" s="830">
        <f>IF(H50/D50&gt;=100%,100%,H50/D50)</f>
        <v>1</v>
      </c>
      <c r="M50" s="830">
        <f>IF(I50/E50&gt;=100%,100%,I50/E50)</f>
        <v>1</v>
      </c>
      <c r="N50" s="391" t="s">
        <v>2548</v>
      </c>
      <c r="O50" s="391"/>
      <c r="P50" s="831" t="s">
        <v>2525</v>
      </c>
      <c r="Q50" s="832" t="s">
        <v>2549</v>
      </c>
      <c r="R50" s="518"/>
      <c r="S50" s="390"/>
      <c r="T50" s="390"/>
      <c r="U50" s="390"/>
      <c r="V50" s="833"/>
      <c r="W50" s="390"/>
      <c r="X50" s="390">
        <v>92</v>
      </c>
      <c r="Y50" s="835">
        <f t="shared" si="30"/>
        <v>72</v>
      </c>
      <c r="Z50" s="836">
        <f t="shared" si="31"/>
        <v>0.78260869565217395</v>
      </c>
      <c r="AA50" s="837">
        <v>0.2</v>
      </c>
      <c r="AB50" s="838">
        <v>0.26</v>
      </c>
      <c r="AC50" s="838">
        <v>0.13</v>
      </c>
      <c r="AD50" s="844">
        <f>+'Anexo 5.2-A. Gastos Rev'!CD46</f>
        <v>185438800</v>
      </c>
      <c r="AE50" s="840"/>
      <c r="AF50" s="844">
        <v>0</v>
      </c>
      <c r="AG50" s="984">
        <f>+'Anexo 5.2-A. Gastos Rev'!CE46</f>
        <v>185438800</v>
      </c>
      <c r="AH50" s="837">
        <f t="shared" si="26"/>
        <v>1</v>
      </c>
      <c r="AI50" s="926">
        <f>+'Anexo 5.2-A. Gastos Rev'!CF46</f>
        <v>185438800</v>
      </c>
      <c r="AJ50" s="926">
        <f>+'Anexo 5.2-A. Gastos Rev'!CG46</f>
        <v>0</v>
      </c>
      <c r="AK50" s="991">
        <f t="shared" si="1"/>
        <v>1</v>
      </c>
      <c r="AL50" s="1001">
        <f t="shared" si="2"/>
        <v>0</v>
      </c>
      <c r="AM50" s="926"/>
      <c r="AN50" s="926"/>
      <c r="AO50" s="843" t="e">
        <f t="shared" si="3"/>
        <v>#DIV/0!</v>
      </c>
      <c r="AP50" s="839"/>
      <c r="AQ50" s="844">
        <f t="shared" si="4"/>
        <v>185438800</v>
      </c>
      <c r="AR50" s="835" t="e">
        <f t="shared" si="5"/>
        <v>#DIV/0!</v>
      </c>
      <c r="AS50" s="927"/>
      <c r="AT50" s="494"/>
      <c r="AU50" s="493" t="s">
        <v>108</v>
      </c>
      <c r="AV50" s="846" t="s">
        <v>2334</v>
      </c>
      <c r="AW50" s="847"/>
      <c r="AX50" s="847"/>
      <c r="BB50" s="1037"/>
      <c r="BD50" s="1037"/>
    </row>
    <row r="51" spans="1:56" ht="38.25" x14ac:dyDescent="0.25">
      <c r="A51" s="827" t="s">
        <v>2335</v>
      </c>
      <c r="B51" s="893" t="s">
        <v>2336</v>
      </c>
      <c r="C51" s="828">
        <v>0</v>
      </c>
      <c r="D51" s="828">
        <v>0</v>
      </c>
      <c r="E51" s="828">
        <v>1</v>
      </c>
      <c r="F51" s="828"/>
      <c r="G51" s="828">
        <v>0</v>
      </c>
      <c r="H51" s="828">
        <v>0</v>
      </c>
      <c r="I51" s="828">
        <v>1</v>
      </c>
      <c r="J51" s="828"/>
      <c r="K51" s="838">
        <v>0</v>
      </c>
      <c r="L51" s="830">
        <v>0</v>
      </c>
      <c r="M51" s="830">
        <f>IF(I51/E51&gt;=100%,100%,I51/E51)</f>
        <v>1</v>
      </c>
      <c r="N51" s="390"/>
      <c r="O51" s="390"/>
      <c r="P51" s="831"/>
      <c r="Q51" s="832"/>
      <c r="R51" s="518"/>
      <c r="S51" s="390"/>
      <c r="T51" s="390"/>
      <c r="U51" s="390"/>
      <c r="V51" s="833"/>
      <c r="W51" s="390"/>
      <c r="X51" s="390">
        <v>1</v>
      </c>
      <c r="Y51" s="835">
        <f t="shared" si="30"/>
        <v>1</v>
      </c>
      <c r="Z51" s="836">
        <f t="shared" si="31"/>
        <v>1</v>
      </c>
      <c r="AA51" s="837">
        <v>0.13</v>
      </c>
      <c r="AB51" s="838">
        <v>0</v>
      </c>
      <c r="AC51" s="838">
        <v>0.13</v>
      </c>
      <c r="AD51" s="844">
        <f>+'Anexo 5.2-A. Gastos Rev'!CD47</f>
        <v>50000000</v>
      </c>
      <c r="AE51" s="840"/>
      <c r="AF51" s="844">
        <v>0</v>
      </c>
      <c r="AG51" s="984">
        <f>+'Anexo 5.2-A. Gastos Rev'!CE47</f>
        <v>50000000</v>
      </c>
      <c r="AH51" s="837">
        <f t="shared" si="26"/>
        <v>1</v>
      </c>
      <c r="AI51" s="926">
        <f>+'Anexo 5.2-A. Gastos Rev'!CF47</f>
        <v>0</v>
      </c>
      <c r="AJ51" s="926">
        <f>+'Anexo 5.2-A. Gastos Rev'!CG47</f>
        <v>0</v>
      </c>
      <c r="AK51" s="991">
        <f t="shared" si="1"/>
        <v>0</v>
      </c>
      <c r="AL51" s="1001">
        <f t="shared" si="2"/>
        <v>50000000</v>
      </c>
      <c r="AM51" s="926"/>
      <c r="AN51" s="926"/>
      <c r="AO51" s="843" t="e">
        <f t="shared" si="3"/>
        <v>#DIV/0!</v>
      </c>
      <c r="AP51" s="839"/>
      <c r="AQ51" s="844">
        <f t="shared" si="4"/>
        <v>50000000</v>
      </c>
      <c r="AR51" s="835" t="e">
        <f t="shared" si="5"/>
        <v>#DIV/0!</v>
      </c>
      <c r="AS51" s="927"/>
      <c r="AT51" s="494"/>
      <c r="AU51" s="493" t="s">
        <v>102</v>
      </c>
      <c r="AV51" s="846" t="s">
        <v>2277</v>
      </c>
      <c r="AW51" s="847"/>
      <c r="AX51" s="847"/>
      <c r="BB51" s="1037"/>
      <c r="BD51" s="1037"/>
    </row>
    <row r="52" spans="1:56" ht="38.25" x14ac:dyDescent="0.25">
      <c r="A52" s="827" t="s">
        <v>2337</v>
      </c>
      <c r="B52" s="893" t="s">
        <v>2338</v>
      </c>
      <c r="C52" s="828">
        <v>1</v>
      </c>
      <c r="D52" s="828">
        <v>1</v>
      </c>
      <c r="E52" s="828">
        <v>1</v>
      </c>
      <c r="F52" s="828"/>
      <c r="G52" s="828">
        <v>1</v>
      </c>
      <c r="H52" s="828">
        <v>1</v>
      </c>
      <c r="I52" s="828">
        <v>1</v>
      </c>
      <c r="J52" s="828"/>
      <c r="K52" s="838">
        <f>IF((G52+J52)/C52&gt;=100%,100%,(G52+J52)/C52)</f>
        <v>1</v>
      </c>
      <c r="L52" s="830">
        <f>IF(H52/D52&gt;=100%,100%,H52/D52)</f>
        <v>1</v>
      </c>
      <c r="M52" s="830">
        <f>IF(I52/E52&gt;=100%,100%,I52/E52)</f>
        <v>1</v>
      </c>
      <c r="N52" s="390" t="s">
        <v>2550</v>
      </c>
      <c r="O52" s="390"/>
      <c r="P52" s="831"/>
      <c r="Q52" s="832"/>
      <c r="R52" s="518"/>
      <c r="S52" s="390"/>
      <c r="T52" s="390"/>
      <c r="U52" s="390"/>
      <c r="V52" s="833"/>
      <c r="W52" s="390"/>
      <c r="X52" s="390">
        <v>4</v>
      </c>
      <c r="Y52" s="835">
        <f t="shared" si="30"/>
        <v>3</v>
      </c>
      <c r="Z52" s="836">
        <f t="shared" si="31"/>
        <v>0.75</v>
      </c>
      <c r="AA52" s="837">
        <v>0.17</v>
      </c>
      <c r="AB52" s="838">
        <v>0.24</v>
      </c>
      <c r="AC52" s="838">
        <v>0.24</v>
      </c>
      <c r="AD52" s="844">
        <f>+'Anexo 5.2-A. Gastos Rev'!CD48</f>
        <v>49261200</v>
      </c>
      <c r="AE52" s="840"/>
      <c r="AF52" s="844">
        <v>100000000</v>
      </c>
      <c r="AG52" s="984">
        <f>+'Anexo 5.2-A. Gastos Rev'!CE48</f>
        <v>0</v>
      </c>
      <c r="AH52" s="837">
        <f t="shared" si="26"/>
        <v>0</v>
      </c>
      <c r="AI52" s="1001">
        <f>+'Anexo 5.2-A. Gastos Rev'!CF48</f>
        <v>0</v>
      </c>
      <c r="AJ52" s="1001">
        <f>+'Anexo 5.2-A. Gastos Rev'!CG48</f>
        <v>0</v>
      </c>
      <c r="AK52" s="991" t="e">
        <f t="shared" si="1"/>
        <v>#DIV/0!</v>
      </c>
      <c r="AL52" s="1001">
        <f t="shared" si="2"/>
        <v>0</v>
      </c>
      <c r="AM52" s="926"/>
      <c r="AN52" s="926"/>
      <c r="AO52" s="843" t="e">
        <f t="shared" si="3"/>
        <v>#DIV/0!</v>
      </c>
      <c r="AP52" s="839"/>
      <c r="AQ52" s="844">
        <f t="shared" si="4"/>
        <v>100000000</v>
      </c>
      <c r="AR52" s="835" t="e">
        <f t="shared" si="5"/>
        <v>#DIV/0!</v>
      </c>
      <c r="AS52" s="927"/>
      <c r="AT52" s="494"/>
      <c r="AU52" s="493" t="s">
        <v>102</v>
      </c>
      <c r="AV52" s="846" t="s">
        <v>2277</v>
      </c>
      <c r="AW52" s="847"/>
      <c r="AX52" s="847"/>
      <c r="BB52" s="1037"/>
      <c r="BD52" s="1037"/>
    </row>
    <row r="53" spans="1:56" ht="51" x14ac:dyDescent="0.25">
      <c r="A53" s="827" t="s">
        <v>2339</v>
      </c>
      <c r="B53" s="893" t="s">
        <v>2340</v>
      </c>
      <c r="C53" s="828">
        <v>1</v>
      </c>
      <c r="D53" s="828">
        <v>1</v>
      </c>
      <c r="E53" s="828">
        <v>1</v>
      </c>
      <c r="F53" s="828"/>
      <c r="G53" s="828">
        <v>0</v>
      </c>
      <c r="H53" s="828">
        <v>1</v>
      </c>
      <c r="I53" s="828">
        <v>1</v>
      </c>
      <c r="J53" s="828"/>
      <c r="K53" s="838">
        <f>IF((G53+J53)/C53&gt;=100%,100%,(G53+J53)/C53)</f>
        <v>0</v>
      </c>
      <c r="L53" s="830">
        <f>IF(H53/D53&gt;=100%,100%,H53/D53)</f>
        <v>1</v>
      </c>
      <c r="M53" s="830">
        <f>IF(I53/E53&gt;=100%,100%,I53/E53)</f>
        <v>1</v>
      </c>
      <c r="N53" s="390"/>
      <c r="O53" s="390"/>
      <c r="P53" s="831"/>
      <c r="Q53" s="832"/>
      <c r="R53" s="518"/>
      <c r="S53" s="390"/>
      <c r="T53" s="390"/>
      <c r="U53" s="390"/>
      <c r="V53" s="833"/>
      <c r="W53" s="390"/>
      <c r="X53" s="390">
        <v>4</v>
      </c>
      <c r="Y53" s="835">
        <f t="shared" si="30"/>
        <v>2</v>
      </c>
      <c r="Z53" s="836">
        <f t="shared" si="31"/>
        <v>0.5</v>
      </c>
      <c r="AA53" s="837">
        <v>0.17</v>
      </c>
      <c r="AB53" s="838">
        <v>0.24</v>
      </c>
      <c r="AC53" s="838">
        <v>0.24</v>
      </c>
      <c r="AD53" s="844">
        <f>+'Anexo 5.2-A. Gastos Rev'!CD49</f>
        <v>414000000</v>
      </c>
      <c r="AE53" s="840"/>
      <c r="AF53" s="844">
        <v>130920000</v>
      </c>
      <c r="AG53" s="984">
        <f>+'Anexo 5.2-A. Gastos Rev'!CE49</f>
        <v>413178800</v>
      </c>
      <c r="AH53" s="837">
        <f t="shared" si="26"/>
        <v>0.99801642512077293</v>
      </c>
      <c r="AI53" s="1001">
        <f>+'Anexo 5.2-A. Gastos Rev'!CF49</f>
        <v>0</v>
      </c>
      <c r="AJ53" s="1001">
        <f>+'Anexo 5.2-A. Gastos Rev'!CG49</f>
        <v>0</v>
      </c>
      <c r="AK53" s="991">
        <f t="shared" si="1"/>
        <v>0</v>
      </c>
      <c r="AL53" s="1001">
        <f t="shared" si="2"/>
        <v>413178800</v>
      </c>
      <c r="AM53" s="926"/>
      <c r="AN53" s="926"/>
      <c r="AO53" s="843" t="e">
        <f t="shared" si="3"/>
        <v>#DIV/0!</v>
      </c>
      <c r="AP53" s="839"/>
      <c r="AQ53" s="844">
        <f t="shared" si="4"/>
        <v>544098800</v>
      </c>
      <c r="AR53" s="835" t="e">
        <f t="shared" si="5"/>
        <v>#DIV/0!</v>
      </c>
      <c r="AS53" s="927"/>
      <c r="AT53" s="494"/>
      <c r="AU53" s="493" t="s">
        <v>102</v>
      </c>
      <c r="AV53" s="846" t="s">
        <v>2277</v>
      </c>
      <c r="AW53" s="847"/>
      <c r="AX53" s="847"/>
      <c r="BB53" s="1037"/>
      <c r="BD53" s="1037"/>
    </row>
    <row r="54" spans="1:56" ht="38.25" x14ac:dyDescent="0.25">
      <c r="A54" s="912" t="s">
        <v>2162</v>
      </c>
      <c r="B54" s="787"/>
      <c r="C54" s="788"/>
      <c r="D54" s="788"/>
      <c r="E54" s="788"/>
      <c r="F54" s="788"/>
      <c r="G54" s="788"/>
      <c r="H54" s="788"/>
      <c r="I54" s="788"/>
      <c r="J54" s="788"/>
      <c r="K54" s="795">
        <f>+(K55*AA55)</f>
        <v>0.6</v>
      </c>
      <c r="L54" s="789">
        <f>+(L55*AB55)</f>
        <v>0.9</v>
      </c>
      <c r="M54" s="789">
        <f>+(M55*AC55)</f>
        <v>1</v>
      </c>
      <c r="N54" s="790"/>
      <c r="O54" s="790"/>
      <c r="P54" s="790"/>
      <c r="Q54" s="791"/>
      <c r="R54" s="791"/>
      <c r="S54" s="790"/>
      <c r="T54" s="790"/>
      <c r="U54" s="790"/>
      <c r="V54" s="914"/>
      <c r="W54" s="790"/>
      <c r="X54" s="790"/>
      <c r="Y54" s="791"/>
      <c r="Z54" s="793">
        <f>+(Z55*AA55)</f>
        <v>0.76398936170212761</v>
      </c>
      <c r="AA54" s="794">
        <v>0.3</v>
      </c>
      <c r="AB54" s="795">
        <v>0.3</v>
      </c>
      <c r="AC54" s="795">
        <v>0.3</v>
      </c>
      <c r="AD54" s="796">
        <f>+'Anexo 5.2-A. Gastos Rev'!CD50</f>
        <v>1845330000</v>
      </c>
      <c r="AE54" s="925">
        <f t="shared" ref="AE54" si="32">+AE55</f>
        <v>264923356.52000001</v>
      </c>
      <c r="AF54" s="796">
        <f>+AF55</f>
        <v>1754698937.4300001</v>
      </c>
      <c r="AG54" s="796">
        <f>+'Anexo 5.2-A. Gastos Rev'!CE50</f>
        <v>1845241546</v>
      </c>
      <c r="AH54" s="797">
        <f t="shared" si="26"/>
        <v>0.99995206602613085</v>
      </c>
      <c r="AI54" s="796">
        <f>+'Anexo 5.2-A. Gastos Rev'!CF50</f>
        <v>1845241547</v>
      </c>
      <c r="AJ54" s="796">
        <f>+'Anexo 5.2-A. Gastos Rev'!CG50</f>
        <v>1672704147</v>
      </c>
      <c r="AK54" s="789">
        <f t="shared" si="1"/>
        <v>1.0000000005419345</v>
      </c>
      <c r="AL54" s="796">
        <f t="shared" si="2"/>
        <v>-1</v>
      </c>
      <c r="AM54" s="796">
        <f t="shared" ref="AM54:AN54" si="33">+AM55</f>
        <v>0</v>
      </c>
      <c r="AN54" s="796">
        <f t="shared" si="33"/>
        <v>0</v>
      </c>
      <c r="AO54" s="799" t="e">
        <f t="shared" si="3"/>
        <v>#DIV/0!</v>
      </c>
      <c r="AP54" s="916">
        <f t="shared" ref="AP54" si="34">+AP55</f>
        <v>4100000000</v>
      </c>
      <c r="AQ54" s="917">
        <f t="shared" si="4"/>
        <v>3864863839.9499998</v>
      </c>
      <c r="AR54" s="918">
        <f t="shared" si="5"/>
        <v>0.94264971706097556</v>
      </c>
      <c r="AS54" s="919"/>
      <c r="AT54" s="802" t="s">
        <v>80</v>
      </c>
      <c r="AU54" s="803"/>
      <c r="AV54" s="804"/>
      <c r="AW54" s="805"/>
      <c r="AX54" s="805"/>
      <c r="BB54" s="1037"/>
      <c r="BD54" s="1037"/>
    </row>
    <row r="55" spans="1:56" ht="25.5" x14ac:dyDescent="0.25">
      <c r="A55" s="806" t="s">
        <v>2163</v>
      </c>
      <c r="B55" s="807"/>
      <c r="C55" s="808"/>
      <c r="D55" s="808"/>
      <c r="E55" s="808"/>
      <c r="F55" s="808"/>
      <c r="G55" s="808"/>
      <c r="H55" s="808"/>
      <c r="I55" s="808"/>
      <c r="J55" s="808"/>
      <c r="K55" s="809">
        <f>+(K56*AA56)+(K57*AA57)+(K58*AA58)+(K59*AA59)+(K60*AA60)+(K61*AA61)+(K62*AA62)</f>
        <v>0.6</v>
      </c>
      <c r="L55" s="810">
        <f>+(L56*AB56)+(L57*AB57)+(L58*AB58)+(L59*AB59)+(L60*AB60)+(L61*AB61)+(L62*AB62)</f>
        <v>0.9</v>
      </c>
      <c r="M55" s="810">
        <f>+(M56*AC56)+(M57*AC57)+(M58*AC58)+(M59*AC59)+(M60*AC60)+(M61*AC61)+(M62*AC62)</f>
        <v>1</v>
      </c>
      <c r="N55" s="811"/>
      <c r="O55" s="811"/>
      <c r="P55" s="811"/>
      <c r="Q55" s="812"/>
      <c r="R55" s="812"/>
      <c r="S55" s="811"/>
      <c r="T55" s="811"/>
      <c r="U55" s="811"/>
      <c r="V55" s="855"/>
      <c r="W55" s="811"/>
      <c r="X55" s="811"/>
      <c r="Y55" s="812"/>
      <c r="Z55" s="814">
        <f>+(Z56*AA56)+(Z57*AA57)+(Z58*AA58)+(Z59*AA59)+(Z60*AA60)+(Z61*AA61)+(Z62*AA62)</f>
        <v>0.76398936170212761</v>
      </c>
      <c r="AA55" s="815">
        <v>1</v>
      </c>
      <c r="AB55" s="809">
        <v>1</v>
      </c>
      <c r="AC55" s="809">
        <v>1</v>
      </c>
      <c r="AD55" s="816">
        <f>+'Anexo 5.2-A. Gastos Rev'!CD51</f>
        <v>1845330000</v>
      </c>
      <c r="AE55" s="817">
        <v>264923356.52000001</v>
      </c>
      <c r="AF55" s="816">
        <f>+SUM(AF56:AF62)</f>
        <v>1754698937.4300001</v>
      </c>
      <c r="AG55" s="816">
        <f>+'Anexo 5.2-A. Gastos Rev'!CE51</f>
        <v>1845241546</v>
      </c>
      <c r="AH55" s="818">
        <f t="shared" si="26"/>
        <v>0.99995206602613085</v>
      </c>
      <c r="AI55" s="816">
        <f>+'Anexo 5.2-A. Gastos Rev'!CF51</f>
        <v>1845241547</v>
      </c>
      <c r="AJ55" s="816">
        <f>+'Anexo 5.2-A. Gastos Rev'!CG51</f>
        <v>1672704147</v>
      </c>
      <c r="AK55" s="810">
        <f t="shared" si="1"/>
        <v>1.0000000005419345</v>
      </c>
      <c r="AL55" s="816">
        <f t="shared" si="2"/>
        <v>-1</v>
      </c>
      <c r="AM55" s="816">
        <f t="shared" ref="AM55:AN55" si="35">+SUM(AM56:AM62)</f>
        <v>0</v>
      </c>
      <c r="AN55" s="816">
        <f t="shared" si="35"/>
        <v>0</v>
      </c>
      <c r="AO55" s="820" t="e">
        <f t="shared" si="3"/>
        <v>#DIV/0!</v>
      </c>
      <c r="AP55" s="858">
        <v>4100000000</v>
      </c>
      <c r="AQ55" s="860">
        <f t="shared" si="4"/>
        <v>3864863839.9499998</v>
      </c>
      <c r="AR55" s="881">
        <f t="shared" si="5"/>
        <v>0.94264971706097556</v>
      </c>
      <c r="AS55" s="861"/>
      <c r="AT55" s="823"/>
      <c r="AU55" s="824"/>
      <c r="AV55" s="825"/>
      <c r="AW55" s="826"/>
      <c r="AX55" s="826"/>
      <c r="BB55" s="1037"/>
      <c r="BD55" s="1037"/>
    </row>
    <row r="56" spans="1:56" ht="38.25" x14ac:dyDescent="0.25">
      <c r="A56" s="827" t="s">
        <v>2341</v>
      </c>
      <c r="B56" s="893" t="s">
        <v>2342</v>
      </c>
      <c r="C56" s="828">
        <v>11</v>
      </c>
      <c r="D56" s="828">
        <v>11</v>
      </c>
      <c r="E56" s="828">
        <v>11</v>
      </c>
      <c r="F56" s="828"/>
      <c r="G56" s="828">
        <v>11</v>
      </c>
      <c r="H56" s="828">
        <v>11</v>
      </c>
      <c r="I56" s="828">
        <v>11</v>
      </c>
      <c r="J56" s="828"/>
      <c r="K56" s="838">
        <f>IF((G56+J56)/C56&gt;=100%,100%,(G56+J56)/C56)</f>
        <v>1</v>
      </c>
      <c r="L56" s="830">
        <f t="shared" ref="L56:M62" si="36">IF(H56/D56&gt;=100%,100%,H56/D56)</f>
        <v>1</v>
      </c>
      <c r="M56" s="830">
        <f t="shared" si="36"/>
        <v>1</v>
      </c>
      <c r="N56" s="390" t="s">
        <v>2551</v>
      </c>
      <c r="O56" s="390"/>
      <c r="P56" s="831"/>
      <c r="Q56" s="832"/>
      <c r="R56" s="518"/>
      <c r="S56" s="390"/>
      <c r="T56" s="390"/>
      <c r="U56" s="390"/>
      <c r="V56" s="833"/>
      <c r="W56" s="390"/>
      <c r="X56" s="390">
        <v>45</v>
      </c>
      <c r="Y56" s="835">
        <f t="shared" ref="Y56:Y62" si="37">SUM(G56:I56)</f>
        <v>33</v>
      </c>
      <c r="Z56" s="836">
        <f t="shared" ref="Z56" si="38">IF(Y56/X56&gt;=100%,100%,Y56/X56)</f>
        <v>0.73333333333333328</v>
      </c>
      <c r="AA56" s="837">
        <v>0.15</v>
      </c>
      <c r="AB56" s="838">
        <v>0.15</v>
      </c>
      <c r="AC56" s="838">
        <v>0.15</v>
      </c>
      <c r="AD56" s="844">
        <f>+'Anexo 5.2-A. Gastos Rev'!CD52</f>
        <v>50000000</v>
      </c>
      <c r="AE56" s="840"/>
      <c r="AF56" s="844">
        <v>0</v>
      </c>
      <c r="AG56" s="984">
        <f>+'Anexo 5.2-A. Gastos Rev'!CE52</f>
        <v>50000000</v>
      </c>
      <c r="AH56" s="837">
        <f t="shared" si="26"/>
        <v>1</v>
      </c>
      <c r="AI56" s="1001">
        <f>+'Anexo 5.2-A. Gastos Rev'!CF52</f>
        <v>50000000</v>
      </c>
      <c r="AJ56" s="1001">
        <f>+'Anexo 5.2-A. Gastos Rev'!CG52</f>
        <v>50000000</v>
      </c>
      <c r="AK56" s="1002">
        <f t="shared" si="1"/>
        <v>1</v>
      </c>
      <c r="AL56" s="1001">
        <f t="shared" si="2"/>
        <v>0</v>
      </c>
      <c r="AM56" s="1001"/>
      <c r="AN56" s="1001"/>
      <c r="AO56" s="843" t="e">
        <f t="shared" si="3"/>
        <v>#DIV/0!</v>
      </c>
      <c r="AP56" s="839"/>
      <c r="AQ56" s="844">
        <f t="shared" si="4"/>
        <v>50000000</v>
      </c>
      <c r="AR56" s="835" t="e">
        <f t="shared" si="5"/>
        <v>#DIV/0!</v>
      </c>
      <c r="AS56" s="927"/>
      <c r="AT56" s="494"/>
      <c r="AU56" s="493" t="s">
        <v>107</v>
      </c>
      <c r="AV56" s="846" t="s">
        <v>2277</v>
      </c>
      <c r="AW56" s="847"/>
      <c r="AX56" s="847"/>
      <c r="BB56" s="1037"/>
      <c r="BD56" s="1037"/>
    </row>
    <row r="57" spans="1:56" ht="76.5" x14ac:dyDescent="0.25">
      <c r="A57" s="827" t="s">
        <v>2343</v>
      </c>
      <c r="B57" s="893" t="s">
        <v>2344</v>
      </c>
      <c r="C57" s="828">
        <v>21</v>
      </c>
      <c r="D57" s="828">
        <v>31</v>
      </c>
      <c r="E57" s="828">
        <v>21</v>
      </c>
      <c r="F57" s="828"/>
      <c r="G57" s="828">
        <v>21</v>
      </c>
      <c r="H57" s="828">
        <v>31</v>
      </c>
      <c r="I57" s="828">
        <v>21</v>
      </c>
      <c r="J57" s="828"/>
      <c r="K57" s="838">
        <f>IF((G57+J57)/C57&gt;=100%,100%,(G57+J57)/C57)</f>
        <v>1</v>
      </c>
      <c r="L57" s="830">
        <f t="shared" si="36"/>
        <v>1</v>
      </c>
      <c r="M57" s="830">
        <f t="shared" si="36"/>
        <v>1</v>
      </c>
      <c r="N57" s="390" t="s">
        <v>2552</v>
      </c>
      <c r="O57" s="390"/>
      <c r="P57" s="832" t="s">
        <v>75</v>
      </c>
      <c r="Q57" s="1024" t="s">
        <v>2553</v>
      </c>
      <c r="R57" s="518"/>
      <c r="S57" s="390"/>
      <c r="T57" s="390"/>
      <c r="U57" s="390"/>
      <c r="V57" s="833"/>
      <c r="W57" s="390"/>
      <c r="X57" s="390">
        <v>94</v>
      </c>
      <c r="Y57" s="835">
        <f t="shared" si="37"/>
        <v>73</v>
      </c>
      <c r="Z57" s="836">
        <f>IF(Y57/X57&gt;=100%,100%,Y57/X57)</f>
        <v>0.77659574468085102</v>
      </c>
      <c r="AA57" s="837">
        <v>0.15</v>
      </c>
      <c r="AB57" s="838">
        <v>0.15</v>
      </c>
      <c r="AC57" s="838">
        <v>0.15</v>
      </c>
      <c r="AD57" s="844">
        <f>+'Anexo 5.2-A. Gastos Rev'!CD53</f>
        <v>50000000</v>
      </c>
      <c r="AE57" s="840"/>
      <c r="AF57" s="844">
        <v>200285286.34</v>
      </c>
      <c r="AG57" s="984">
        <f>+'Anexo 5.2-A. Gastos Rev'!CE53</f>
        <v>50000000</v>
      </c>
      <c r="AH57" s="837">
        <f t="shared" si="26"/>
        <v>1</v>
      </c>
      <c r="AI57" s="1001">
        <f>+'Anexo 5.2-A. Gastos Rev'!CF53</f>
        <v>50000000</v>
      </c>
      <c r="AJ57" s="1001">
        <f>+'Anexo 5.2-A. Gastos Rev'!CG53</f>
        <v>50000000</v>
      </c>
      <c r="AK57" s="1002">
        <f t="shared" si="1"/>
        <v>1</v>
      </c>
      <c r="AL57" s="1001">
        <f t="shared" si="2"/>
        <v>0</v>
      </c>
      <c r="AM57" s="1001"/>
      <c r="AN57" s="1001"/>
      <c r="AO57" s="843" t="e">
        <f t="shared" si="3"/>
        <v>#DIV/0!</v>
      </c>
      <c r="AP57" s="839"/>
      <c r="AQ57" s="844">
        <f t="shared" si="4"/>
        <v>250285286.34</v>
      </c>
      <c r="AR57" s="835" t="e">
        <f t="shared" si="5"/>
        <v>#DIV/0!</v>
      </c>
      <c r="AS57" s="927"/>
      <c r="AT57" s="494"/>
      <c r="AU57" s="493" t="s">
        <v>107</v>
      </c>
      <c r="AV57" s="846" t="s">
        <v>2345</v>
      </c>
      <c r="AW57" s="847"/>
      <c r="AX57" s="847"/>
      <c r="BB57" s="1037"/>
      <c r="BD57" s="1037"/>
    </row>
    <row r="58" spans="1:56" ht="38.25" x14ac:dyDescent="0.25">
      <c r="A58" s="827" t="s">
        <v>2346</v>
      </c>
      <c r="B58" s="893" t="s">
        <v>2347</v>
      </c>
      <c r="C58" s="828">
        <v>1</v>
      </c>
      <c r="D58" s="828">
        <v>1</v>
      </c>
      <c r="E58" s="828">
        <v>1</v>
      </c>
      <c r="F58" s="828"/>
      <c r="G58" s="828">
        <v>1</v>
      </c>
      <c r="H58" s="828">
        <v>1</v>
      </c>
      <c r="I58" s="828">
        <v>1</v>
      </c>
      <c r="J58" s="828"/>
      <c r="K58" s="838">
        <f>IF((G58+J58)/C58&gt;=100%,100%,(G58+J58)/C58)</f>
        <v>1</v>
      </c>
      <c r="L58" s="830">
        <f t="shared" si="36"/>
        <v>1</v>
      </c>
      <c r="M58" s="830">
        <f t="shared" si="36"/>
        <v>1</v>
      </c>
      <c r="N58" s="390" t="s">
        <v>2554</v>
      </c>
      <c r="O58" s="390"/>
      <c r="P58" s="831" t="s">
        <v>2525</v>
      </c>
      <c r="Q58" s="832" t="s">
        <v>2555</v>
      </c>
      <c r="R58" s="518"/>
      <c r="S58" s="390"/>
      <c r="T58" s="390"/>
      <c r="U58" s="390"/>
      <c r="V58" s="833"/>
      <c r="W58" s="390"/>
      <c r="X58" s="390">
        <v>4</v>
      </c>
      <c r="Y58" s="835">
        <f t="shared" si="37"/>
        <v>3</v>
      </c>
      <c r="Z58" s="836">
        <f t="shared" ref="Z58:Z62" si="39">IF(Y58/X58&gt;=100%,100%,Y58/X58)</f>
        <v>0.75</v>
      </c>
      <c r="AA58" s="837">
        <v>0.15</v>
      </c>
      <c r="AB58" s="838">
        <v>0.15</v>
      </c>
      <c r="AC58" s="838">
        <v>0.15</v>
      </c>
      <c r="AD58" s="844">
        <f>+'Anexo 5.2-A. Gastos Rev'!CD54</f>
        <v>100000000</v>
      </c>
      <c r="AE58" s="840"/>
      <c r="AF58" s="844">
        <v>234065833.15000001</v>
      </c>
      <c r="AG58" s="984">
        <f>+'Anexo 5.2-A. Gastos Rev'!CE54</f>
        <v>100000000</v>
      </c>
      <c r="AH58" s="837">
        <f t="shared" si="26"/>
        <v>1</v>
      </c>
      <c r="AI58" s="1001">
        <f>+'Anexo 5.2-A. Gastos Rev'!CF54</f>
        <v>100000000</v>
      </c>
      <c r="AJ58" s="1001">
        <f>+'Anexo 5.2-A. Gastos Rev'!CG54</f>
        <v>100000000</v>
      </c>
      <c r="AK58" s="1002">
        <f t="shared" si="1"/>
        <v>1</v>
      </c>
      <c r="AL58" s="1001">
        <f t="shared" si="2"/>
        <v>0</v>
      </c>
      <c r="AM58" s="1001"/>
      <c r="AN58" s="1001"/>
      <c r="AO58" s="843" t="e">
        <f t="shared" si="3"/>
        <v>#DIV/0!</v>
      </c>
      <c r="AP58" s="839"/>
      <c r="AQ58" s="844">
        <f t="shared" si="4"/>
        <v>334065833.14999998</v>
      </c>
      <c r="AR58" s="835" t="e">
        <f t="shared" si="5"/>
        <v>#DIV/0!</v>
      </c>
      <c r="AS58" s="927"/>
      <c r="AT58" s="494"/>
      <c r="AU58" s="493" t="s">
        <v>109</v>
      </c>
      <c r="AV58" s="846" t="s">
        <v>2345</v>
      </c>
      <c r="AW58" s="847"/>
      <c r="AX58" s="847"/>
      <c r="BB58" s="1037"/>
      <c r="BD58" s="1037"/>
    </row>
    <row r="59" spans="1:56" ht="25.5" x14ac:dyDescent="0.25">
      <c r="A59" s="827" t="s">
        <v>2348</v>
      </c>
      <c r="B59" s="893" t="s">
        <v>2349</v>
      </c>
      <c r="C59" s="828">
        <v>0</v>
      </c>
      <c r="D59" s="828">
        <v>1</v>
      </c>
      <c r="E59" s="828">
        <v>6</v>
      </c>
      <c r="F59" s="828"/>
      <c r="G59" s="828">
        <v>0</v>
      </c>
      <c r="H59" s="828">
        <v>0</v>
      </c>
      <c r="I59" s="828">
        <v>6</v>
      </c>
      <c r="J59" s="828"/>
      <c r="K59" s="838">
        <v>0</v>
      </c>
      <c r="L59" s="830">
        <f t="shared" si="36"/>
        <v>0</v>
      </c>
      <c r="M59" s="830">
        <f t="shared" si="36"/>
        <v>1</v>
      </c>
      <c r="N59" s="390" t="s">
        <v>2552</v>
      </c>
      <c r="O59" s="390"/>
      <c r="P59" s="831"/>
      <c r="Q59" s="832"/>
      <c r="R59" s="518"/>
      <c r="S59" s="390"/>
      <c r="T59" s="390"/>
      <c r="U59" s="390"/>
      <c r="V59" s="833"/>
      <c r="W59" s="390"/>
      <c r="X59" s="390">
        <v>3</v>
      </c>
      <c r="Y59" s="835">
        <f t="shared" si="37"/>
        <v>6</v>
      </c>
      <c r="Z59" s="836">
        <f t="shared" si="39"/>
        <v>1</v>
      </c>
      <c r="AA59" s="837">
        <v>0.1</v>
      </c>
      <c r="AB59" s="838">
        <v>0.1</v>
      </c>
      <c r="AC59" s="838">
        <v>0.1</v>
      </c>
      <c r="AD59" s="844">
        <f>+'Anexo 5.2-A. Gastos Rev'!CD55</f>
        <v>99356000</v>
      </c>
      <c r="AE59" s="840"/>
      <c r="AF59" s="844">
        <v>0</v>
      </c>
      <c r="AG59" s="984">
        <f>+'Anexo 5.2-A. Gastos Rev'!CE55</f>
        <v>99356000</v>
      </c>
      <c r="AH59" s="837">
        <f t="shared" si="26"/>
        <v>1</v>
      </c>
      <c r="AI59" s="1001">
        <f>+'Anexo 5.2-A. Gastos Rev'!CF55</f>
        <v>99356000</v>
      </c>
      <c r="AJ59" s="1001">
        <f>+'Anexo 5.2-A. Gastos Rev'!CG55</f>
        <v>99356000</v>
      </c>
      <c r="AK59" s="1002">
        <f t="shared" si="1"/>
        <v>1</v>
      </c>
      <c r="AL59" s="1001">
        <f t="shared" si="2"/>
        <v>0</v>
      </c>
      <c r="AM59" s="1001"/>
      <c r="AN59" s="1001"/>
      <c r="AO59" s="843" t="e">
        <f t="shared" si="3"/>
        <v>#DIV/0!</v>
      </c>
      <c r="AP59" s="839"/>
      <c r="AQ59" s="844">
        <f t="shared" si="4"/>
        <v>99356000</v>
      </c>
      <c r="AR59" s="835" t="e">
        <f t="shared" si="5"/>
        <v>#DIV/0!</v>
      </c>
      <c r="AS59" s="927"/>
      <c r="AT59" s="494"/>
      <c r="AU59" s="493" t="s">
        <v>109</v>
      </c>
      <c r="AV59" s="846" t="s">
        <v>2345</v>
      </c>
      <c r="AW59" s="847"/>
      <c r="AX59" s="847"/>
      <c r="BB59" s="1037"/>
      <c r="BD59" s="1037"/>
    </row>
    <row r="60" spans="1:56" ht="49.5" x14ac:dyDescent="0.25">
      <c r="A60" s="827" t="s">
        <v>2350</v>
      </c>
      <c r="B60" s="893" t="s">
        <v>2351</v>
      </c>
      <c r="C60" s="828">
        <v>1</v>
      </c>
      <c r="D60" s="828">
        <v>1</v>
      </c>
      <c r="E60" s="828">
        <v>1</v>
      </c>
      <c r="F60" s="828"/>
      <c r="G60" s="828">
        <v>1</v>
      </c>
      <c r="H60" s="828">
        <v>1</v>
      </c>
      <c r="I60" s="828">
        <v>1</v>
      </c>
      <c r="J60" s="828"/>
      <c r="K60" s="838">
        <f>IF((G60+J60)/C60&gt;=100%,100%,(G60+J60)/C60)</f>
        <v>1</v>
      </c>
      <c r="L60" s="830">
        <f t="shared" si="36"/>
        <v>1</v>
      </c>
      <c r="M60" s="830">
        <f t="shared" si="36"/>
        <v>1</v>
      </c>
      <c r="N60" s="1025" t="s">
        <v>2556</v>
      </c>
      <c r="O60" s="390"/>
      <c r="P60" s="832" t="s">
        <v>75</v>
      </c>
      <c r="Q60" s="832"/>
      <c r="R60" s="832" t="s">
        <v>2557</v>
      </c>
      <c r="S60" s="390" t="s">
        <v>2558</v>
      </c>
      <c r="T60" s="390"/>
      <c r="U60" s="390"/>
      <c r="V60" s="833"/>
      <c r="W60" s="390"/>
      <c r="X60" s="390">
        <v>4</v>
      </c>
      <c r="Y60" s="835">
        <f t="shared" si="37"/>
        <v>3</v>
      </c>
      <c r="Z60" s="836">
        <f t="shared" si="39"/>
        <v>0.75</v>
      </c>
      <c r="AA60" s="837">
        <v>0.15</v>
      </c>
      <c r="AB60" s="838">
        <v>0.15</v>
      </c>
      <c r="AC60" s="838">
        <v>0.15</v>
      </c>
      <c r="AD60" s="844">
        <f>+'Anexo 5.2-A. Gastos Rev'!CD56</f>
        <v>1284330000</v>
      </c>
      <c r="AE60" s="840"/>
      <c r="AF60" s="844">
        <v>857004931.25999999</v>
      </c>
      <c r="AG60" s="984">
        <f>+'Anexo 5.2-A. Gastos Rev'!CE56</f>
        <v>1284241546</v>
      </c>
      <c r="AH60" s="837">
        <f t="shared" si="26"/>
        <v>0.9999311282925728</v>
      </c>
      <c r="AI60" s="1001">
        <f>+'Anexo 5.2-A. Gastos Rev'!CF56</f>
        <v>1284241546</v>
      </c>
      <c r="AJ60" s="1001">
        <f>+'Anexo 5.2-A. Gastos Rev'!CG56</f>
        <v>1272704147</v>
      </c>
      <c r="AK60" s="1002">
        <f t="shared" si="1"/>
        <v>1</v>
      </c>
      <c r="AL60" s="1001">
        <f t="shared" si="2"/>
        <v>0</v>
      </c>
      <c r="AM60" s="1001"/>
      <c r="AN60" s="1001"/>
      <c r="AO60" s="843" t="e">
        <f t="shared" si="3"/>
        <v>#DIV/0!</v>
      </c>
      <c r="AP60" s="839"/>
      <c r="AQ60" s="844">
        <f t="shared" si="4"/>
        <v>2141246477.26</v>
      </c>
      <c r="AR60" s="835" t="e">
        <f t="shared" si="5"/>
        <v>#DIV/0!</v>
      </c>
      <c r="AS60" s="927"/>
      <c r="AT60" s="494"/>
      <c r="AU60" s="493" t="s">
        <v>109</v>
      </c>
      <c r="AV60" s="846" t="s">
        <v>2345</v>
      </c>
      <c r="AW60" s="847"/>
      <c r="AX60" s="847"/>
      <c r="BB60" s="1037"/>
      <c r="BD60" s="1037"/>
    </row>
    <row r="61" spans="1:56" ht="51" x14ac:dyDescent="0.25">
      <c r="A61" s="827" t="s">
        <v>2352</v>
      </c>
      <c r="B61" s="893" t="s">
        <v>2353</v>
      </c>
      <c r="C61" s="828">
        <v>0</v>
      </c>
      <c r="D61" s="828">
        <v>10</v>
      </c>
      <c r="E61" s="828">
        <v>1</v>
      </c>
      <c r="F61" s="828"/>
      <c r="G61" s="828">
        <v>0</v>
      </c>
      <c r="H61" s="828">
        <v>10</v>
      </c>
      <c r="I61" s="828">
        <v>1</v>
      </c>
      <c r="J61" s="828"/>
      <c r="K61" s="838">
        <v>0</v>
      </c>
      <c r="L61" s="830">
        <f t="shared" si="36"/>
        <v>1</v>
      </c>
      <c r="M61" s="830">
        <f t="shared" si="36"/>
        <v>1</v>
      </c>
      <c r="N61" s="390" t="s">
        <v>2559</v>
      </c>
      <c r="O61" s="390"/>
      <c r="P61" s="832" t="s">
        <v>75</v>
      </c>
      <c r="Q61" s="832"/>
      <c r="R61" s="832" t="s">
        <v>2557</v>
      </c>
      <c r="S61" s="1026" t="s">
        <v>2553</v>
      </c>
      <c r="T61" s="390"/>
      <c r="U61" s="390"/>
      <c r="V61" s="833"/>
      <c r="W61" s="390"/>
      <c r="X61" s="390">
        <v>12</v>
      </c>
      <c r="Y61" s="835">
        <f t="shared" si="37"/>
        <v>11</v>
      </c>
      <c r="Z61" s="836">
        <f t="shared" si="39"/>
        <v>0.91666666666666663</v>
      </c>
      <c r="AA61" s="837">
        <v>0.15</v>
      </c>
      <c r="AB61" s="838">
        <v>0.15</v>
      </c>
      <c r="AC61" s="838">
        <v>0.15</v>
      </c>
      <c r="AD61" s="844">
        <f>+'Anexo 5.2-A. Gastos Rev'!CD57</f>
        <v>100000000</v>
      </c>
      <c r="AE61" s="840"/>
      <c r="AF61" s="844">
        <v>0</v>
      </c>
      <c r="AG61" s="984">
        <f>+'Anexo 5.2-A. Gastos Rev'!CE57</f>
        <v>100000000</v>
      </c>
      <c r="AH61" s="837">
        <f t="shared" si="26"/>
        <v>1</v>
      </c>
      <c r="AI61" s="1001">
        <f>+'Anexo 5.2-A. Gastos Rev'!CF57</f>
        <v>100000000</v>
      </c>
      <c r="AJ61" s="1001">
        <f>+'Anexo 5.2-A. Gastos Rev'!CG57</f>
        <v>100000000</v>
      </c>
      <c r="AK61" s="1002">
        <f t="shared" si="1"/>
        <v>1</v>
      </c>
      <c r="AL61" s="1001">
        <f t="shared" si="2"/>
        <v>0</v>
      </c>
      <c r="AM61" s="1001"/>
      <c r="AN61" s="1001"/>
      <c r="AO61" s="843" t="e">
        <f t="shared" si="3"/>
        <v>#DIV/0!</v>
      </c>
      <c r="AP61" s="839"/>
      <c r="AQ61" s="844">
        <f t="shared" si="4"/>
        <v>100000000</v>
      </c>
      <c r="AR61" s="835" t="e">
        <f t="shared" si="5"/>
        <v>#DIV/0!</v>
      </c>
      <c r="AS61" s="927"/>
      <c r="AT61" s="494"/>
      <c r="AU61" s="493" t="s">
        <v>109</v>
      </c>
      <c r="AV61" s="846" t="s">
        <v>2345</v>
      </c>
      <c r="AW61" s="847"/>
      <c r="AX61" s="847"/>
      <c r="BB61" s="1037"/>
      <c r="BD61" s="1037"/>
    </row>
    <row r="62" spans="1:56" ht="39" thickBot="1" x14ac:dyDescent="0.3">
      <c r="A62" s="827" t="s">
        <v>2354</v>
      </c>
      <c r="B62" s="893" t="s">
        <v>2355</v>
      </c>
      <c r="C62" s="828">
        <v>0</v>
      </c>
      <c r="D62" s="828">
        <v>2</v>
      </c>
      <c r="E62" s="828">
        <v>4</v>
      </c>
      <c r="F62" s="828"/>
      <c r="G62" s="828">
        <v>0</v>
      </c>
      <c r="H62" s="828">
        <v>2</v>
      </c>
      <c r="I62" s="828">
        <v>4</v>
      </c>
      <c r="J62" s="828"/>
      <c r="K62" s="838">
        <v>0</v>
      </c>
      <c r="L62" s="830">
        <f t="shared" si="36"/>
        <v>1</v>
      </c>
      <c r="M62" s="830">
        <f t="shared" si="36"/>
        <v>1</v>
      </c>
      <c r="N62" s="390" t="s">
        <v>2560</v>
      </c>
      <c r="O62" s="390"/>
      <c r="P62" s="831"/>
      <c r="Q62" s="832"/>
      <c r="R62" s="518"/>
      <c r="S62" s="390"/>
      <c r="T62" s="390"/>
      <c r="U62" s="390"/>
      <c r="V62" s="833"/>
      <c r="W62" s="390"/>
      <c r="X62" s="390">
        <v>12</v>
      </c>
      <c r="Y62" s="835">
        <f t="shared" si="37"/>
        <v>6</v>
      </c>
      <c r="Z62" s="836">
        <f t="shared" si="39"/>
        <v>0.5</v>
      </c>
      <c r="AA62" s="837">
        <v>0.15</v>
      </c>
      <c r="AB62" s="838">
        <v>0.15</v>
      </c>
      <c r="AC62" s="838">
        <v>0.15</v>
      </c>
      <c r="AD62" s="844">
        <f>+'Anexo 5.2-A. Gastos Rev'!CD58</f>
        <v>161644000</v>
      </c>
      <c r="AE62" s="840"/>
      <c r="AF62" s="844">
        <v>463342886.68000001</v>
      </c>
      <c r="AG62" s="984">
        <f>+'Anexo 5.2-A. Gastos Rev'!CE58</f>
        <v>161644000</v>
      </c>
      <c r="AH62" s="837">
        <f t="shared" si="26"/>
        <v>1</v>
      </c>
      <c r="AI62" s="1001">
        <f>+'Anexo 5.2-A. Gastos Rev'!CF58</f>
        <v>161644000</v>
      </c>
      <c r="AJ62" s="1001">
        <f>+'Anexo 5.2-A. Gastos Rev'!CG58</f>
        <v>0</v>
      </c>
      <c r="AK62" s="1002">
        <f t="shared" si="1"/>
        <v>1</v>
      </c>
      <c r="AL62" s="1001">
        <f t="shared" si="2"/>
        <v>0</v>
      </c>
      <c r="AM62" s="1001"/>
      <c r="AN62" s="1001"/>
      <c r="AO62" s="843" t="e">
        <f t="shared" si="3"/>
        <v>#DIV/0!</v>
      </c>
      <c r="AP62" s="839"/>
      <c r="AQ62" s="844">
        <f t="shared" si="4"/>
        <v>624986886.68000007</v>
      </c>
      <c r="AR62" s="835" t="e">
        <f t="shared" si="5"/>
        <v>#DIV/0!</v>
      </c>
      <c r="AS62" s="927"/>
      <c r="AT62" s="494"/>
      <c r="AU62" s="493" t="s">
        <v>109</v>
      </c>
      <c r="AV62" s="846" t="s">
        <v>2345</v>
      </c>
      <c r="AW62" s="847"/>
      <c r="AX62" s="847"/>
      <c r="BB62" s="1037"/>
      <c r="BD62" s="1037"/>
    </row>
    <row r="63" spans="1:56" ht="38.25" x14ac:dyDescent="0.25">
      <c r="A63" s="928" t="s">
        <v>2164</v>
      </c>
      <c r="B63" s="895"/>
      <c r="C63" s="896"/>
      <c r="D63" s="896"/>
      <c r="E63" s="896"/>
      <c r="F63" s="896"/>
      <c r="G63" s="896"/>
      <c r="H63" s="896"/>
      <c r="I63" s="896"/>
      <c r="J63" s="896"/>
      <c r="K63" s="902">
        <f>+(K64*AA64)+(K73*AA73)</f>
        <v>0.95476190476190481</v>
      </c>
      <c r="L63" s="897">
        <f>+(L64*AB64)+(L73*AB73)</f>
        <v>0.99285714285714288</v>
      </c>
      <c r="M63" s="897">
        <f>+(M64*AC64)+(M73*AC73)</f>
        <v>0.80119047619047623</v>
      </c>
      <c r="N63" s="898"/>
      <c r="O63" s="898"/>
      <c r="P63" s="770"/>
      <c r="Q63" s="771"/>
      <c r="R63" s="771"/>
      <c r="S63" s="898"/>
      <c r="T63" s="898"/>
      <c r="U63" s="898"/>
      <c r="V63" s="929"/>
      <c r="W63" s="898"/>
      <c r="X63" s="898"/>
      <c r="Y63" s="899"/>
      <c r="Z63" s="900">
        <f>+(Z64*AA64)+(Z73*AA73)</f>
        <v>0.744345238095238</v>
      </c>
      <c r="AA63" s="901">
        <v>0.2</v>
      </c>
      <c r="AB63" s="902">
        <v>0.2</v>
      </c>
      <c r="AC63" s="902">
        <v>0.2</v>
      </c>
      <c r="AD63" s="903">
        <f>+'Anexo 5.2-A. Gastos Rev'!CD59</f>
        <v>1901600000</v>
      </c>
      <c r="AE63" s="903">
        <f t="shared" ref="AE63" si="40">+AE64+AE73</f>
        <v>1299979200</v>
      </c>
      <c r="AF63" s="903">
        <f>+AF64+AF73</f>
        <v>159416826.80000001</v>
      </c>
      <c r="AG63" s="904">
        <f>+'Anexo 5.2-A. Gastos Rev'!CE59</f>
        <v>1413260993.28</v>
      </c>
      <c r="AH63" s="930">
        <f t="shared" si="26"/>
        <v>0.74319572637778708</v>
      </c>
      <c r="AI63" s="903">
        <f>+'Anexo 5.2-A. Gastos Rev'!CF59</f>
        <v>1413260993</v>
      </c>
      <c r="AJ63" s="903">
        <f>+'Anexo 5.2-A. Gastos Rev'!CG59</f>
        <v>1260624308</v>
      </c>
      <c r="AK63" s="897">
        <f t="shared" si="1"/>
        <v>0.9999999998018767</v>
      </c>
      <c r="AL63" s="903">
        <f t="shared" si="2"/>
        <v>0.27999997138977051</v>
      </c>
      <c r="AM63" s="903">
        <f t="shared" ref="AM63:AN63" si="41">+AM64+AM73</f>
        <v>0</v>
      </c>
      <c r="AN63" s="903">
        <f t="shared" si="41"/>
        <v>0</v>
      </c>
      <c r="AO63" s="905" t="e">
        <f t="shared" si="3"/>
        <v>#DIV/0!</v>
      </c>
      <c r="AP63" s="904">
        <f>+AP64+AP73</f>
        <v>8620000000</v>
      </c>
      <c r="AQ63" s="906">
        <f t="shared" si="4"/>
        <v>2872657020.0799999</v>
      </c>
      <c r="AR63" s="897">
        <f t="shared" si="5"/>
        <v>0.33325487471925752</v>
      </c>
      <c r="AS63" s="907"/>
      <c r="AT63" s="908" t="s">
        <v>80</v>
      </c>
      <c r="AU63" s="909"/>
      <c r="AV63" s="910"/>
      <c r="AW63" s="911"/>
      <c r="AX63" s="911"/>
      <c r="BB63" s="1037"/>
      <c r="BD63" s="1037"/>
    </row>
    <row r="64" spans="1:56" ht="25.5" x14ac:dyDescent="0.25">
      <c r="A64" s="912" t="s">
        <v>2165</v>
      </c>
      <c r="B64" s="787"/>
      <c r="C64" s="788"/>
      <c r="D64" s="788"/>
      <c r="E64" s="788"/>
      <c r="F64" s="788"/>
      <c r="G64" s="788"/>
      <c r="H64" s="788"/>
      <c r="I64" s="788"/>
      <c r="J64" s="788"/>
      <c r="K64" s="795">
        <f>+(K65*AA65)</f>
        <v>0.90952380952380962</v>
      </c>
      <c r="L64" s="789">
        <f>+(L65*AB65)</f>
        <v>0.98571428571428577</v>
      </c>
      <c r="M64" s="789">
        <f>+(M65*AC65)</f>
        <v>0.85238095238095235</v>
      </c>
      <c r="N64" s="790"/>
      <c r="O64" s="790"/>
      <c r="P64" s="790"/>
      <c r="Q64" s="791"/>
      <c r="R64" s="791"/>
      <c r="S64" s="790"/>
      <c r="T64" s="790"/>
      <c r="U64" s="790"/>
      <c r="V64" s="914"/>
      <c r="W64" s="790"/>
      <c r="X64" s="790"/>
      <c r="Y64" s="791"/>
      <c r="Z64" s="793">
        <f>+(Z65*AA65)</f>
        <v>0.66369047619047616</v>
      </c>
      <c r="AA64" s="794">
        <v>0.5</v>
      </c>
      <c r="AB64" s="795">
        <v>0.5</v>
      </c>
      <c r="AC64" s="795">
        <v>0.5</v>
      </c>
      <c r="AD64" s="796">
        <f>+'Anexo 5.2-A. Gastos Rev'!CD60</f>
        <v>199600000</v>
      </c>
      <c r="AE64" s="796">
        <f t="shared" ref="AE64:AF64" si="42">+AE65</f>
        <v>0</v>
      </c>
      <c r="AF64" s="796">
        <f t="shared" si="42"/>
        <v>159416826.80000001</v>
      </c>
      <c r="AG64" s="798">
        <f>+'Anexo 5.2-A. Gastos Rev'!CE60</f>
        <v>194804685.28</v>
      </c>
      <c r="AH64" s="797">
        <f t="shared" si="26"/>
        <v>0.9759753771543086</v>
      </c>
      <c r="AI64" s="796">
        <f>+'Anexo 5.2-A. Gastos Rev'!CF60</f>
        <v>194804685</v>
      </c>
      <c r="AJ64" s="796">
        <f>+'Anexo 5.2-A. Gastos Rev'!CG60</f>
        <v>42168000</v>
      </c>
      <c r="AK64" s="789">
        <f t="shared" si="1"/>
        <v>0.99999999856266286</v>
      </c>
      <c r="AL64" s="796">
        <f t="shared" si="2"/>
        <v>0.2800000011920929</v>
      </c>
      <c r="AM64" s="796">
        <f t="shared" ref="AM64:AN64" si="43">+AM65</f>
        <v>0</v>
      </c>
      <c r="AN64" s="796">
        <f t="shared" si="43"/>
        <v>0</v>
      </c>
      <c r="AO64" s="799" t="e">
        <f t="shared" si="3"/>
        <v>#DIV/0!</v>
      </c>
      <c r="AP64" s="916">
        <f>+AP65</f>
        <v>6770000000</v>
      </c>
      <c r="AQ64" s="917">
        <f t="shared" si="4"/>
        <v>354221512.08000004</v>
      </c>
      <c r="AR64" s="918">
        <f t="shared" si="5"/>
        <v>5.2322232212703108E-2</v>
      </c>
      <c r="AS64" s="919"/>
      <c r="AT64" s="802"/>
      <c r="AU64" s="803"/>
      <c r="AV64" s="804"/>
      <c r="AW64" s="805"/>
      <c r="AX64" s="805"/>
      <c r="BB64" s="1037"/>
      <c r="BD64" s="1037"/>
    </row>
    <row r="65" spans="1:56" ht="25.5" x14ac:dyDescent="0.25">
      <c r="A65" s="806" t="s">
        <v>2166</v>
      </c>
      <c r="B65" s="807"/>
      <c r="C65" s="808"/>
      <c r="D65" s="808"/>
      <c r="E65" s="808"/>
      <c r="F65" s="808"/>
      <c r="G65" s="808"/>
      <c r="H65" s="808"/>
      <c r="I65" s="808"/>
      <c r="J65" s="808"/>
      <c r="K65" s="809">
        <f>+(K66*AA66)+(K67*AA67)+(K68*AA68)+(K69*AA69)+(K70*AA70)+(K71*AA71)+(K72*AA72)</f>
        <v>0.90952380952380962</v>
      </c>
      <c r="L65" s="810">
        <f>+(L66*AB66)+(L67*AB67)+(L68*AB68)+(L69*AB69)+(L70*AB70)+(L71*AB71)+(L72*AB72)</f>
        <v>0.98571428571428577</v>
      </c>
      <c r="M65" s="810">
        <f>+(M66*AC66)+(M67*AC67)+(M68*AC68)+(M69*AC69)+(M70*AC70)+(M71*AC71)+(M72*AC72)</f>
        <v>0.85238095238095235</v>
      </c>
      <c r="N65" s="811"/>
      <c r="O65" s="811"/>
      <c r="P65" s="811"/>
      <c r="Q65" s="812"/>
      <c r="R65" s="812"/>
      <c r="S65" s="811"/>
      <c r="T65" s="811"/>
      <c r="U65" s="811"/>
      <c r="V65" s="855"/>
      <c r="W65" s="811"/>
      <c r="X65" s="811"/>
      <c r="Y65" s="812"/>
      <c r="Z65" s="814">
        <f>+(Z66*AA66)+(Z67*AA67)+(Z68*AA68)+(Z69*AA69)+(Z70*AA70)+(Z71*AA71)+(Z72*AA72)</f>
        <v>0.66369047619047616</v>
      </c>
      <c r="AA65" s="815">
        <v>1</v>
      </c>
      <c r="AB65" s="809">
        <v>1</v>
      </c>
      <c r="AC65" s="809">
        <v>1</v>
      </c>
      <c r="AD65" s="816">
        <f>+'Anexo 5.2-A. Gastos Rev'!CD61</f>
        <v>199600000</v>
      </c>
      <c r="AE65" s="817">
        <v>0</v>
      </c>
      <c r="AF65" s="816">
        <f>+SUM(AF66:AF72)</f>
        <v>159416826.80000001</v>
      </c>
      <c r="AG65" s="819">
        <f>+'Anexo 5.2-A. Gastos Rev'!CE61</f>
        <v>194804685.28</v>
      </c>
      <c r="AH65" s="818">
        <f t="shared" si="26"/>
        <v>0.9759753771543086</v>
      </c>
      <c r="AI65" s="816">
        <f>+'Anexo 5.2-A. Gastos Rev'!CF61</f>
        <v>194804685</v>
      </c>
      <c r="AJ65" s="816">
        <f>+'Anexo 5.2-A. Gastos Rev'!CG61</f>
        <v>42168000</v>
      </c>
      <c r="AK65" s="810">
        <f t="shared" si="1"/>
        <v>0.99999999856266286</v>
      </c>
      <c r="AL65" s="816">
        <f t="shared" si="2"/>
        <v>0.2800000011920929</v>
      </c>
      <c r="AM65" s="816">
        <f t="shared" ref="AM65:AN65" si="44">+SUM(AM66:AM72)</f>
        <v>0</v>
      </c>
      <c r="AN65" s="816">
        <f t="shared" si="44"/>
        <v>0</v>
      </c>
      <c r="AO65" s="820" t="e">
        <f t="shared" si="3"/>
        <v>#DIV/0!</v>
      </c>
      <c r="AP65" s="858">
        <v>6770000000</v>
      </c>
      <c r="AQ65" s="860">
        <f t="shared" si="4"/>
        <v>354221512.08000004</v>
      </c>
      <c r="AR65" s="881">
        <f t="shared" si="5"/>
        <v>5.2322232212703108E-2</v>
      </c>
      <c r="AS65" s="861"/>
      <c r="AT65" s="823"/>
      <c r="AU65" s="824"/>
      <c r="AV65" s="825"/>
      <c r="AW65" s="826"/>
      <c r="AX65" s="826"/>
      <c r="BB65" s="1037"/>
      <c r="BD65" s="1037"/>
    </row>
    <row r="66" spans="1:56" ht="76.5" x14ac:dyDescent="0.25">
      <c r="A66" s="827" t="s">
        <v>2356</v>
      </c>
      <c r="B66" s="893" t="s">
        <v>2357</v>
      </c>
      <c r="C66" s="828">
        <v>4</v>
      </c>
      <c r="D66" s="828">
        <v>4</v>
      </c>
      <c r="E66" s="828">
        <v>6</v>
      </c>
      <c r="F66" s="828"/>
      <c r="G66" s="828">
        <v>4</v>
      </c>
      <c r="H66" s="828">
        <v>6</v>
      </c>
      <c r="I66" s="828">
        <v>6</v>
      </c>
      <c r="J66" s="828"/>
      <c r="K66" s="838">
        <f t="shared" ref="K66:K72" si="45">IF((G66+J66)/C66&gt;=100%,100%,(G66+J66)/C66)</f>
        <v>1</v>
      </c>
      <c r="L66" s="830">
        <f t="shared" ref="L66:M72" si="46">IF(H66/D66&gt;=100%,100%,H66/D66)</f>
        <v>1</v>
      </c>
      <c r="M66" s="830">
        <f t="shared" si="46"/>
        <v>1</v>
      </c>
      <c r="N66" s="1026" t="s">
        <v>2561</v>
      </c>
      <c r="O66" s="390"/>
      <c r="P66" s="831"/>
      <c r="Q66" s="832"/>
      <c r="R66" s="518"/>
      <c r="S66" s="390"/>
      <c r="T66" s="390"/>
      <c r="U66" s="390"/>
      <c r="V66" s="833"/>
      <c r="W66" s="390"/>
      <c r="X66" s="390">
        <v>21</v>
      </c>
      <c r="Y66" s="835">
        <f t="shared" ref="Y66:Y72" si="47">SUM(G66:I66)</f>
        <v>16</v>
      </c>
      <c r="Z66" s="836">
        <f t="shared" si="8"/>
        <v>0.76190476190476186</v>
      </c>
      <c r="AA66" s="837">
        <v>0.15</v>
      </c>
      <c r="AB66" s="838">
        <v>0.15</v>
      </c>
      <c r="AC66" s="838">
        <v>0.15</v>
      </c>
      <c r="AD66" s="844">
        <f>+'Anexo 5.2-A. Gastos Rev'!CD62</f>
        <v>0</v>
      </c>
      <c r="AE66" s="840"/>
      <c r="AF66" s="844">
        <v>159416826.80000001</v>
      </c>
      <c r="AG66" s="984">
        <f>+'Anexo 5.2-A. Gastos Rev'!CE62</f>
        <v>0</v>
      </c>
      <c r="AH66" s="837" t="e">
        <f t="shared" si="26"/>
        <v>#DIV/0!</v>
      </c>
      <c r="AI66" s="1001">
        <f>+'Anexo 5.2-A. Gastos Rev'!CF62</f>
        <v>0</v>
      </c>
      <c r="AJ66" s="1001">
        <f>+'Anexo 5.2-A. Gastos Rev'!CG62</f>
        <v>0</v>
      </c>
      <c r="AK66" s="1002" t="e">
        <f t="shared" si="1"/>
        <v>#DIV/0!</v>
      </c>
      <c r="AL66" s="1001">
        <f t="shared" si="2"/>
        <v>0</v>
      </c>
      <c r="AM66" s="1001"/>
      <c r="AN66" s="1001"/>
      <c r="AO66" s="843" t="e">
        <f t="shared" si="3"/>
        <v>#DIV/0!</v>
      </c>
      <c r="AP66" s="839"/>
      <c r="AQ66" s="844">
        <f t="shared" si="4"/>
        <v>159416826.80000001</v>
      </c>
      <c r="AR66" s="835" t="e">
        <f t="shared" si="5"/>
        <v>#DIV/0!</v>
      </c>
      <c r="AS66" s="927"/>
      <c r="AT66" s="494"/>
      <c r="AU66" s="493" t="s">
        <v>106</v>
      </c>
      <c r="AV66" s="846" t="s">
        <v>2277</v>
      </c>
      <c r="AW66" s="847"/>
      <c r="AX66" s="847"/>
      <c r="BB66" s="1037"/>
      <c r="BD66" s="1037"/>
    </row>
    <row r="67" spans="1:56" ht="51" x14ac:dyDescent="0.25">
      <c r="A67" s="827" t="s">
        <v>2358</v>
      </c>
      <c r="B67" s="893" t="s">
        <v>2359</v>
      </c>
      <c r="C67" s="828">
        <v>1</v>
      </c>
      <c r="D67" s="828">
        <v>1</v>
      </c>
      <c r="E67" s="828">
        <v>1</v>
      </c>
      <c r="F67" s="828"/>
      <c r="G67" s="828">
        <v>1</v>
      </c>
      <c r="H67" s="828">
        <v>1</v>
      </c>
      <c r="I67" s="828">
        <v>1</v>
      </c>
      <c r="J67" s="828"/>
      <c r="K67" s="838">
        <f t="shared" si="45"/>
        <v>1</v>
      </c>
      <c r="L67" s="830">
        <f t="shared" si="46"/>
        <v>1</v>
      </c>
      <c r="M67" s="830">
        <f t="shared" si="46"/>
        <v>1</v>
      </c>
      <c r="N67" s="1026" t="s">
        <v>2560</v>
      </c>
      <c r="O67" s="390"/>
      <c r="P67" s="831"/>
      <c r="Q67" s="832"/>
      <c r="R67" s="518"/>
      <c r="S67" s="390"/>
      <c r="T67" s="390"/>
      <c r="U67" s="390"/>
      <c r="V67" s="833"/>
      <c r="W67" s="390"/>
      <c r="X67" s="390">
        <v>4</v>
      </c>
      <c r="Y67" s="835">
        <f t="shared" si="47"/>
        <v>3</v>
      </c>
      <c r="Z67" s="836">
        <f t="shared" si="8"/>
        <v>0.75</v>
      </c>
      <c r="AA67" s="837">
        <v>0.15</v>
      </c>
      <c r="AB67" s="838">
        <v>0.15</v>
      </c>
      <c r="AC67" s="838">
        <v>0.15</v>
      </c>
      <c r="AD67" s="844">
        <f>+'Anexo 5.2-A. Gastos Rev'!CD63</f>
        <v>0</v>
      </c>
      <c r="AE67" s="840"/>
      <c r="AF67" s="844">
        <v>0</v>
      </c>
      <c r="AG67" s="984">
        <f>+'Anexo 5.2-A. Gastos Rev'!CE63</f>
        <v>0</v>
      </c>
      <c r="AH67" s="837" t="e">
        <f t="shared" si="26"/>
        <v>#DIV/0!</v>
      </c>
      <c r="AI67" s="1001">
        <f>+'Anexo 5.2-A. Gastos Rev'!CF63</f>
        <v>0</v>
      </c>
      <c r="AJ67" s="1001">
        <f>+'Anexo 5.2-A. Gastos Rev'!CG63</f>
        <v>0</v>
      </c>
      <c r="AK67" s="1002" t="e">
        <f t="shared" si="1"/>
        <v>#DIV/0!</v>
      </c>
      <c r="AL67" s="1001">
        <f t="shared" si="2"/>
        <v>0</v>
      </c>
      <c r="AM67" s="1001"/>
      <c r="AN67" s="1001"/>
      <c r="AO67" s="843" t="e">
        <f t="shared" si="3"/>
        <v>#DIV/0!</v>
      </c>
      <c r="AP67" s="839"/>
      <c r="AQ67" s="844">
        <f t="shared" si="4"/>
        <v>0</v>
      </c>
      <c r="AR67" s="835" t="e">
        <f t="shared" si="5"/>
        <v>#DIV/0!</v>
      </c>
      <c r="AS67" s="927"/>
      <c r="AT67" s="494"/>
      <c r="AU67" s="493" t="s">
        <v>116</v>
      </c>
      <c r="AV67" s="846" t="s">
        <v>2360</v>
      </c>
      <c r="AW67" s="847"/>
      <c r="AX67" s="847"/>
      <c r="BB67" s="1037"/>
      <c r="BD67" s="1037"/>
    </row>
    <row r="68" spans="1:56" ht="63.75" x14ac:dyDescent="0.25">
      <c r="A68" s="827" t="s">
        <v>2361</v>
      </c>
      <c r="B68" s="893" t="s">
        <v>2362</v>
      </c>
      <c r="C68" s="828">
        <v>4</v>
      </c>
      <c r="D68" s="828">
        <v>4</v>
      </c>
      <c r="E68" s="828">
        <v>3</v>
      </c>
      <c r="F68" s="828"/>
      <c r="G68" s="828">
        <v>4</v>
      </c>
      <c r="H68" s="828">
        <v>4</v>
      </c>
      <c r="I68" s="828">
        <v>3</v>
      </c>
      <c r="J68" s="828"/>
      <c r="K68" s="838">
        <f t="shared" si="45"/>
        <v>1</v>
      </c>
      <c r="L68" s="830">
        <f t="shared" si="46"/>
        <v>1</v>
      </c>
      <c r="M68" s="1027">
        <f t="shared" si="46"/>
        <v>1</v>
      </c>
      <c r="N68" s="1028" t="s">
        <v>2562</v>
      </c>
      <c r="O68" s="390"/>
      <c r="P68" s="832" t="s">
        <v>75</v>
      </c>
      <c r="Q68" s="832"/>
      <c r="R68" s="832" t="s">
        <v>2521</v>
      </c>
      <c r="S68" s="390" t="s">
        <v>2563</v>
      </c>
      <c r="T68" s="390"/>
      <c r="U68" s="390"/>
      <c r="V68" s="833"/>
      <c r="W68" s="390"/>
      <c r="X68" s="390">
        <v>15</v>
      </c>
      <c r="Y68" s="835">
        <f t="shared" si="47"/>
        <v>11</v>
      </c>
      <c r="Z68" s="836">
        <f t="shared" si="8"/>
        <v>0.73333333333333328</v>
      </c>
      <c r="AA68" s="837">
        <v>0.15</v>
      </c>
      <c r="AB68" s="838">
        <v>0.15</v>
      </c>
      <c r="AC68" s="838">
        <v>0.15</v>
      </c>
      <c r="AD68" s="844">
        <f>+'Anexo 5.2-A. Gastos Rev'!CD64</f>
        <v>69000000</v>
      </c>
      <c r="AE68" s="840"/>
      <c r="AF68" s="844">
        <v>0</v>
      </c>
      <c r="AG68" s="984">
        <f>+'Anexo 5.2-A. Gastos Rev'!CE64</f>
        <v>69000000</v>
      </c>
      <c r="AH68" s="837">
        <f t="shared" si="26"/>
        <v>1</v>
      </c>
      <c r="AI68" s="1001">
        <f>+'Anexo 5.2-A. Gastos Rev'!CF64</f>
        <v>69000000</v>
      </c>
      <c r="AJ68" s="1001">
        <f>+'Anexo 5.2-A. Gastos Rev'!CG64</f>
        <v>42168000</v>
      </c>
      <c r="AK68" s="1002">
        <f t="shared" si="1"/>
        <v>1</v>
      </c>
      <c r="AL68" s="1001">
        <f t="shared" si="2"/>
        <v>0</v>
      </c>
      <c r="AM68" s="1001"/>
      <c r="AN68" s="1001"/>
      <c r="AO68" s="843" t="e">
        <f t="shared" si="3"/>
        <v>#DIV/0!</v>
      </c>
      <c r="AP68" s="839"/>
      <c r="AQ68" s="844">
        <f t="shared" si="4"/>
        <v>69000000</v>
      </c>
      <c r="AR68" s="835" t="e">
        <f t="shared" si="5"/>
        <v>#DIV/0!</v>
      </c>
      <c r="AS68" s="927"/>
      <c r="AT68" s="494"/>
      <c r="AU68" s="493" t="s">
        <v>106</v>
      </c>
      <c r="AV68" s="846" t="s">
        <v>2363</v>
      </c>
      <c r="AW68" s="847"/>
      <c r="AX68" s="847"/>
      <c r="BB68" s="1037"/>
      <c r="BD68" s="1037"/>
    </row>
    <row r="69" spans="1:56" ht="51" x14ac:dyDescent="0.25">
      <c r="A69" s="827" t="s">
        <v>2364</v>
      </c>
      <c r="B69" s="893" t="s">
        <v>2359</v>
      </c>
      <c r="C69" s="828">
        <v>1</v>
      </c>
      <c r="D69" s="828">
        <v>1</v>
      </c>
      <c r="E69" s="828">
        <v>1</v>
      </c>
      <c r="F69" s="828"/>
      <c r="G69" s="828">
        <v>1</v>
      </c>
      <c r="H69" s="828">
        <v>1</v>
      </c>
      <c r="I69" s="828">
        <v>1</v>
      </c>
      <c r="J69" s="828"/>
      <c r="K69" s="838">
        <f t="shared" si="45"/>
        <v>1</v>
      </c>
      <c r="L69" s="830">
        <f t="shared" si="46"/>
        <v>1</v>
      </c>
      <c r="M69" s="830">
        <f t="shared" si="46"/>
        <v>1</v>
      </c>
      <c r="N69" s="390" t="s">
        <v>2560</v>
      </c>
      <c r="O69" s="390"/>
      <c r="P69" s="831"/>
      <c r="Q69" s="832"/>
      <c r="R69" s="518"/>
      <c r="S69" s="390"/>
      <c r="T69" s="390"/>
      <c r="U69" s="390"/>
      <c r="V69" s="833"/>
      <c r="W69" s="390"/>
      <c r="X69" s="390">
        <v>4</v>
      </c>
      <c r="Y69" s="835">
        <f t="shared" si="47"/>
        <v>3</v>
      </c>
      <c r="Z69" s="836">
        <f t="shared" si="8"/>
        <v>0.75</v>
      </c>
      <c r="AA69" s="837">
        <v>0.15</v>
      </c>
      <c r="AB69" s="838">
        <v>0.15</v>
      </c>
      <c r="AC69" s="838">
        <v>0.15</v>
      </c>
      <c r="AD69" s="844">
        <f>+'Anexo 5.2-A. Gastos Rev'!CD65</f>
        <v>70000000</v>
      </c>
      <c r="AE69" s="840"/>
      <c r="AF69" s="844">
        <v>0</v>
      </c>
      <c r="AG69" s="984">
        <f>+'Anexo 5.2-A. Gastos Rev'!CE65</f>
        <v>70000000</v>
      </c>
      <c r="AH69" s="837">
        <f t="shared" si="26"/>
        <v>1</v>
      </c>
      <c r="AI69" s="1001">
        <f>+'Anexo 5.2-A. Gastos Rev'!CF65</f>
        <v>70000000</v>
      </c>
      <c r="AJ69" s="1001">
        <f>+'Anexo 5.2-A. Gastos Rev'!CG65</f>
        <v>0</v>
      </c>
      <c r="AK69" s="1002">
        <f t="shared" si="1"/>
        <v>1</v>
      </c>
      <c r="AL69" s="1001">
        <f t="shared" si="2"/>
        <v>0</v>
      </c>
      <c r="AM69" s="1001"/>
      <c r="AN69" s="1001"/>
      <c r="AO69" s="843" t="e">
        <f t="shared" si="3"/>
        <v>#DIV/0!</v>
      </c>
      <c r="AP69" s="839"/>
      <c r="AQ69" s="844">
        <f t="shared" si="4"/>
        <v>70000000</v>
      </c>
      <c r="AR69" s="835" t="e">
        <f t="shared" si="5"/>
        <v>#DIV/0!</v>
      </c>
      <c r="AS69" s="927"/>
      <c r="AT69" s="494"/>
      <c r="AU69" s="493" t="s">
        <v>106</v>
      </c>
      <c r="AV69" s="846" t="s">
        <v>2345</v>
      </c>
      <c r="AW69" s="847"/>
      <c r="AX69" s="847"/>
      <c r="BB69" s="1037"/>
      <c r="BD69" s="1037"/>
    </row>
    <row r="70" spans="1:56" ht="63.75" x14ac:dyDescent="0.25">
      <c r="A70" s="827" t="s">
        <v>2365</v>
      </c>
      <c r="B70" s="893" t="s">
        <v>2366</v>
      </c>
      <c r="C70" s="828">
        <v>1</v>
      </c>
      <c r="D70" s="828">
        <v>1</v>
      </c>
      <c r="E70" s="828">
        <v>4</v>
      </c>
      <c r="F70" s="828"/>
      <c r="G70" s="828">
        <v>1</v>
      </c>
      <c r="H70" s="828">
        <v>1</v>
      </c>
      <c r="I70" s="828">
        <v>4</v>
      </c>
      <c r="J70" s="828"/>
      <c r="K70" s="838">
        <f t="shared" si="45"/>
        <v>1</v>
      </c>
      <c r="L70" s="830">
        <f t="shared" si="46"/>
        <v>1</v>
      </c>
      <c r="M70" s="1027">
        <f t="shared" si="46"/>
        <v>1</v>
      </c>
      <c r="N70" s="1029" t="s">
        <v>2560</v>
      </c>
      <c r="O70" s="390"/>
      <c r="P70" s="832"/>
      <c r="Q70" s="832"/>
      <c r="R70" s="832"/>
      <c r="S70" s="390"/>
      <c r="T70" s="390"/>
      <c r="U70" s="390"/>
      <c r="V70" s="833"/>
      <c r="W70" s="390"/>
      <c r="X70" s="390">
        <v>10</v>
      </c>
      <c r="Y70" s="835">
        <f t="shared" si="47"/>
        <v>6</v>
      </c>
      <c r="Z70" s="836">
        <f t="shared" si="8"/>
        <v>0.6</v>
      </c>
      <c r="AA70" s="837">
        <v>0.15</v>
      </c>
      <c r="AB70" s="838">
        <v>0.15</v>
      </c>
      <c r="AC70" s="838">
        <v>0.15</v>
      </c>
      <c r="AD70" s="844">
        <f>+'Anexo 5.2-A. Gastos Rev'!CD66</f>
        <v>60600000</v>
      </c>
      <c r="AE70" s="840"/>
      <c r="AF70" s="844">
        <v>0</v>
      </c>
      <c r="AG70" s="984">
        <f>+'Anexo 5.2-A. Gastos Rev'!CE66</f>
        <v>55804685.280000001</v>
      </c>
      <c r="AH70" s="837">
        <f t="shared" si="26"/>
        <v>0.92086939405940593</v>
      </c>
      <c r="AI70" s="1001">
        <f>+'Anexo 5.2-A. Gastos Rev'!CF66</f>
        <v>55804685.280000001</v>
      </c>
      <c r="AJ70" s="1001">
        <f>+'Anexo 5.2-A. Gastos Rev'!CG66</f>
        <v>0</v>
      </c>
      <c r="AK70" s="1002">
        <f t="shared" si="1"/>
        <v>1</v>
      </c>
      <c r="AL70" s="1001">
        <f t="shared" si="2"/>
        <v>0</v>
      </c>
      <c r="AM70" s="1001"/>
      <c r="AN70" s="1001"/>
      <c r="AO70" s="843" t="e">
        <f t="shared" si="3"/>
        <v>#DIV/0!</v>
      </c>
      <c r="AP70" s="839"/>
      <c r="AQ70" s="844">
        <f t="shared" si="4"/>
        <v>55804685.280000001</v>
      </c>
      <c r="AR70" s="835" t="e">
        <f t="shared" si="5"/>
        <v>#DIV/0!</v>
      </c>
      <c r="AS70" s="927"/>
      <c r="AT70" s="494"/>
      <c r="AU70" s="493" t="s">
        <v>106</v>
      </c>
      <c r="AV70" s="846" t="s">
        <v>2363</v>
      </c>
      <c r="AW70" s="847"/>
      <c r="AX70" s="847"/>
      <c r="BB70" s="1037"/>
      <c r="BD70" s="1037"/>
    </row>
    <row r="71" spans="1:56" ht="75.75" customHeight="1" x14ac:dyDescent="0.25">
      <c r="A71" s="827" t="s">
        <v>2367</v>
      </c>
      <c r="B71" s="893" t="s">
        <v>2368</v>
      </c>
      <c r="C71" s="828">
        <v>21</v>
      </c>
      <c r="D71" s="828">
        <v>21</v>
      </c>
      <c r="E71" s="828">
        <v>21</v>
      </c>
      <c r="F71" s="828"/>
      <c r="G71" s="828">
        <v>17</v>
      </c>
      <c r="H71" s="828">
        <v>18</v>
      </c>
      <c r="I71" s="828">
        <v>8</v>
      </c>
      <c r="J71" s="828"/>
      <c r="K71" s="838">
        <f t="shared" si="45"/>
        <v>0.80952380952380953</v>
      </c>
      <c r="L71" s="830">
        <f t="shared" si="46"/>
        <v>0.8571428571428571</v>
      </c>
      <c r="M71" s="830">
        <f t="shared" si="46"/>
        <v>0.38095238095238093</v>
      </c>
      <c r="N71" s="391" t="s">
        <v>2564</v>
      </c>
      <c r="O71" s="391"/>
      <c r="P71" s="831" t="s">
        <v>2525</v>
      </c>
      <c r="Q71" s="832" t="s">
        <v>2565</v>
      </c>
      <c r="R71" s="518"/>
      <c r="S71" s="390"/>
      <c r="T71" s="390"/>
      <c r="U71" s="390"/>
      <c r="V71" s="833"/>
      <c r="W71" s="390"/>
      <c r="X71" s="390">
        <v>84</v>
      </c>
      <c r="Y71" s="835">
        <f t="shared" si="47"/>
        <v>43</v>
      </c>
      <c r="Z71" s="836">
        <f t="shared" si="8"/>
        <v>0.51190476190476186</v>
      </c>
      <c r="AA71" s="837">
        <v>0.1</v>
      </c>
      <c r="AB71" s="838">
        <v>0.1</v>
      </c>
      <c r="AC71" s="838">
        <v>0.1</v>
      </c>
      <c r="AD71" s="844">
        <f>+'Anexo 5.2-A. Gastos Rev'!CD67</f>
        <v>0</v>
      </c>
      <c r="AE71" s="840"/>
      <c r="AF71" s="844">
        <v>0</v>
      </c>
      <c r="AG71" s="984">
        <f>+'Anexo 5.2-A. Gastos Rev'!CE67</f>
        <v>0</v>
      </c>
      <c r="AH71" s="837" t="e">
        <f t="shared" si="26"/>
        <v>#DIV/0!</v>
      </c>
      <c r="AI71" s="1001">
        <f>+'Anexo 5.2-A. Gastos Rev'!CF67</f>
        <v>0</v>
      </c>
      <c r="AJ71" s="1001">
        <f>+'Anexo 5.2-A. Gastos Rev'!CG67</f>
        <v>0</v>
      </c>
      <c r="AK71" s="1002" t="e">
        <f t="shared" si="1"/>
        <v>#DIV/0!</v>
      </c>
      <c r="AL71" s="1001">
        <f t="shared" si="2"/>
        <v>0</v>
      </c>
      <c r="AM71" s="1001"/>
      <c r="AN71" s="1001"/>
      <c r="AO71" s="843" t="e">
        <f t="shared" si="3"/>
        <v>#DIV/0!</v>
      </c>
      <c r="AP71" s="839"/>
      <c r="AQ71" s="844">
        <f t="shared" si="4"/>
        <v>0</v>
      </c>
      <c r="AR71" s="835" t="e">
        <f t="shared" si="5"/>
        <v>#DIV/0!</v>
      </c>
      <c r="AS71" s="927"/>
      <c r="AT71" s="494"/>
      <c r="AU71" s="493" t="s">
        <v>106</v>
      </c>
      <c r="AV71" s="846" t="s">
        <v>2363</v>
      </c>
      <c r="AW71" s="847"/>
      <c r="AX71" s="847"/>
      <c r="BB71" s="1037"/>
      <c r="BD71" s="1037"/>
    </row>
    <row r="72" spans="1:56" ht="63.75" x14ac:dyDescent="0.25">
      <c r="A72" s="827" t="s">
        <v>2369</v>
      </c>
      <c r="B72" s="893" t="s">
        <v>2370</v>
      </c>
      <c r="C72" s="828">
        <v>21</v>
      </c>
      <c r="D72" s="828">
        <v>21</v>
      </c>
      <c r="E72" s="828">
        <v>21</v>
      </c>
      <c r="F72" s="828"/>
      <c r="G72" s="828">
        <v>11</v>
      </c>
      <c r="H72" s="828">
        <v>21</v>
      </c>
      <c r="I72" s="828">
        <v>9</v>
      </c>
      <c r="J72" s="828"/>
      <c r="K72" s="838">
        <f t="shared" si="45"/>
        <v>0.52380952380952384</v>
      </c>
      <c r="L72" s="830">
        <f t="shared" si="46"/>
        <v>1</v>
      </c>
      <c r="M72" s="830">
        <f t="shared" si="46"/>
        <v>0.42857142857142855</v>
      </c>
      <c r="N72" s="391" t="s">
        <v>2566</v>
      </c>
      <c r="O72" s="391"/>
      <c r="P72" s="831" t="s">
        <v>2525</v>
      </c>
      <c r="Q72" s="832" t="s">
        <v>2567</v>
      </c>
      <c r="R72" s="518"/>
      <c r="S72" s="390"/>
      <c r="T72" s="390"/>
      <c r="U72" s="390"/>
      <c r="V72" s="833"/>
      <c r="W72" s="390"/>
      <c r="X72" s="390">
        <v>84</v>
      </c>
      <c r="Y72" s="835">
        <f t="shared" si="47"/>
        <v>41</v>
      </c>
      <c r="Z72" s="836">
        <f t="shared" si="8"/>
        <v>0.48809523809523808</v>
      </c>
      <c r="AA72" s="837">
        <v>0.15</v>
      </c>
      <c r="AB72" s="838">
        <v>0.15</v>
      </c>
      <c r="AC72" s="838">
        <v>0.15</v>
      </c>
      <c r="AD72" s="844">
        <f>+'Anexo 5.2-A. Gastos Rev'!CD68</f>
        <v>0</v>
      </c>
      <c r="AE72" s="840"/>
      <c r="AF72" s="844">
        <v>0</v>
      </c>
      <c r="AG72" s="984">
        <f>+'Anexo 5.2-A. Gastos Rev'!CE68</f>
        <v>0</v>
      </c>
      <c r="AH72" s="837" t="e">
        <f t="shared" ref="AH72:AH103" si="48">+AG72/AD72</f>
        <v>#DIV/0!</v>
      </c>
      <c r="AI72" s="1001">
        <f>+'Anexo 5.2-A. Gastos Rev'!CF68</f>
        <v>0</v>
      </c>
      <c r="AJ72" s="1001">
        <f>+'Anexo 5.2-A. Gastos Rev'!CG68</f>
        <v>0</v>
      </c>
      <c r="AK72" s="1002" t="e">
        <f t="shared" si="1"/>
        <v>#DIV/0!</v>
      </c>
      <c r="AL72" s="1001">
        <f t="shared" si="2"/>
        <v>0</v>
      </c>
      <c r="AM72" s="1001"/>
      <c r="AN72" s="1001"/>
      <c r="AO72" s="843" t="e">
        <f t="shared" si="3"/>
        <v>#DIV/0!</v>
      </c>
      <c r="AP72" s="839"/>
      <c r="AQ72" s="844">
        <f t="shared" si="4"/>
        <v>0</v>
      </c>
      <c r="AR72" s="835" t="e">
        <f t="shared" si="5"/>
        <v>#DIV/0!</v>
      </c>
      <c r="AS72" s="927"/>
      <c r="AT72" s="494"/>
      <c r="AU72" s="493" t="s">
        <v>85</v>
      </c>
      <c r="AV72" s="846" t="s">
        <v>2371</v>
      </c>
      <c r="AW72" s="847"/>
      <c r="AX72" s="847"/>
      <c r="BB72" s="1037"/>
      <c r="BD72" s="1037"/>
    </row>
    <row r="73" spans="1:56" ht="38.25" x14ac:dyDescent="0.25">
      <c r="A73" s="912" t="s">
        <v>2167</v>
      </c>
      <c r="B73" s="787"/>
      <c r="C73" s="788"/>
      <c r="D73" s="788"/>
      <c r="E73" s="788"/>
      <c r="F73" s="788"/>
      <c r="G73" s="788"/>
      <c r="H73" s="788"/>
      <c r="I73" s="788"/>
      <c r="J73" s="788"/>
      <c r="K73" s="795">
        <f>+(K74*AA74)</f>
        <v>1</v>
      </c>
      <c r="L73" s="789">
        <f>+(L74*AB74)</f>
        <v>1</v>
      </c>
      <c r="M73" s="789">
        <f>+(M74*AC74)</f>
        <v>0.75</v>
      </c>
      <c r="N73" s="913"/>
      <c r="O73" s="913"/>
      <c r="P73" s="790"/>
      <c r="Q73" s="791"/>
      <c r="R73" s="791"/>
      <c r="S73" s="913"/>
      <c r="T73" s="913"/>
      <c r="U73" s="913"/>
      <c r="V73" s="914"/>
      <c r="W73" s="913"/>
      <c r="X73" s="913"/>
      <c r="Y73" s="791"/>
      <c r="Z73" s="793">
        <f>+(Z74*AA74)</f>
        <v>0.82499999999999996</v>
      </c>
      <c r="AA73" s="794">
        <v>0.5</v>
      </c>
      <c r="AB73" s="795">
        <v>0.5</v>
      </c>
      <c r="AC73" s="795">
        <v>0.5</v>
      </c>
      <c r="AD73" s="915">
        <f>+'Anexo 5.2-A. Gastos Rev'!CD69</f>
        <v>1702000000</v>
      </c>
      <c r="AE73" s="931">
        <f t="shared" ref="AE73:AF73" si="49">+AE74</f>
        <v>1299979200</v>
      </c>
      <c r="AF73" s="915">
        <f t="shared" si="49"/>
        <v>0</v>
      </c>
      <c r="AG73" s="916">
        <f>+'Anexo 5.2-A. Gastos Rev'!CE69</f>
        <v>1218456308</v>
      </c>
      <c r="AH73" s="794">
        <f t="shared" si="48"/>
        <v>0.71589677320799061</v>
      </c>
      <c r="AI73" s="915">
        <f>+'Anexo 5.2-A. Gastos Rev'!CF69</f>
        <v>1218456308</v>
      </c>
      <c r="AJ73" s="915">
        <f>+'Anexo 5.2-A. Gastos Rev'!CG69</f>
        <v>1218456308</v>
      </c>
      <c r="AK73" s="992">
        <f t="shared" ref="AK73:AK136" si="50">+AI73/AG73</f>
        <v>1</v>
      </c>
      <c r="AL73" s="915">
        <f t="shared" ref="AL73:AL136" si="51">+AG73-AI73</f>
        <v>0</v>
      </c>
      <c r="AM73" s="915">
        <f t="shared" ref="AM73:AN73" si="52">+AM74</f>
        <v>0</v>
      </c>
      <c r="AN73" s="915">
        <f t="shared" si="52"/>
        <v>0</v>
      </c>
      <c r="AO73" s="799" t="e">
        <f t="shared" si="3"/>
        <v>#DIV/0!</v>
      </c>
      <c r="AP73" s="916">
        <f>+AP74</f>
        <v>1850000000</v>
      </c>
      <c r="AQ73" s="917">
        <f t="shared" ref="AQ73:AQ136" si="53">+AE73+AF73+AG73</f>
        <v>2518435508</v>
      </c>
      <c r="AR73" s="918">
        <f t="shared" si="5"/>
        <v>1.3613164908108109</v>
      </c>
      <c r="AS73" s="919"/>
      <c r="AT73" s="802" t="s">
        <v>80</v>
      </c>
      <c r="AU73" s="803"/>
      <c r="AV73" s="804"/>
      <c r="AW73" s="805"/>
      <c r="AX73" s="805"/>
      <c r="BB73" s="1037"/>
      <c r="BD73" s="1037"/>
    </row>
    <row r="74" spans="1:56" ht="25.5" x14ac:dyDescent="0.25">
      <c r="A74" s="806" t="s">
        <v>2168</v>
      </c>
      <c r="B74" s="807"/>
      <c r="C74" s="808"/>
      <c r="D74" s="808"/>
      <c r="E74" s="808"/>
      <c r="F74" s="808"/>
      <c r="G74" s="808"/>
      <c r="H74" s="808"/>
      <c r="I74" s="808"/>
      <c r="J74" s="808"/>
      <c r="K74" s="809">
        <f>+(K75*AA75)+(K76*AA76)+(K77*AA77)+(K78*AA78)</f>
        <v>1</v>
      </c>
      <c r="L74" s="810">
        <f>+(L75*AB75)+(L76*AB76)+(L77*AB77)+(L78*AB78)</f>
        <v>1</v>
      </c>
      <c r="M74" s="810">
        <f>+(M75*AC75)+(M76*AC76)+(M77*AC77)+(M78*AC78)</f>
        <v>0.75</v>
      </c>
      <c r="N74" s="854"/>
      <c r="O74" s="854"/>
      <c r="P74" s="811"/>
      <c r="Q74" s="812"/>
      <c r="R74" s="812"/>
      <c r="S74" s="854"/>
      <c r="T74" s="854"/>
      <c r="U74" s="854"/>
      <c r="V74" s="855"/>
      <c r="W74" s="854"/>
      <c r="X74" s="854"/>
      <c r="Y74" s="812"/>
      <c r="Z74" s="814">
        <f>+(Z75*AA75)+(Z76*AA76)+(Z77*AA77)+(Z78*AA78)</f>
        <v>0.82499999999999996</v>
      </c>
      <c r="AA74" s="815">
        <v>1</v>
      </c>
      <c r="AB74" s="809">
        <v>1</v>
      </c>
      <c r="AC74" s="809">
        <v>1</v>
      </c>
      <c r="AD74" s="856">
        <f>+'Anexo 5.2-A. Gastos Rev'!CD70</f>
        <v>1702000000</v>
      </c>
      <c r="AE74" s="933">
        <v>1299979200</v>
      </c>
      <c r="AF74" s="856">
        <f>+SUM(AF75:AF78)</f>
        <v>0</v>
      </c>
      <c r="AG74" s="858">
        <f>+'Anexo 5.2-A. Gastos Rev'!CE70</f>
        <v>1218456308</v>
      </c>
      <c r="AH74" s="815">
        <f t="shared" si="48"/>
        <v>0.71589677320799061</v>
      </c>
      <c r="AI74" s="856">
        <f>+'Anexo 5.2-A. Gastos Rev'!CF70</f>
        <v>1218456308</v>
      </c>
      <c r="AJ74" s="856">
        <f>+'Anexo 5.2-A. Gastos Rev'!CG70</f>
        <v>1218456308</v>
      </c>
      <c r="AK74" s="993">
        <f t="shared" si="50"/>
        <v>1</v>
      </c>
      <c r="AL74" s="856">
        <f t="shared" si="51"/>
        <v>0</v>
      </c>
      <c r="AM74" s="856">
        <f t="shared" ref="AM74:AN74" si="54">+SUM(AM75:AM78)</f>
        <v>0</v>
      </c>
      <c r="AN74" s="856">
        <f t="shared" si="54"/>
        <v>0</v>
      </c>
      <c r="AO74" s="820" t="e">
        <f t="shared" ref="AO74:AO140" si="55">+AN74/AM74</f>
        <v>#DIV/0!</v>
      </c>
      <c r="AP74" s="858">
        <v>1850000000</v>
      </c>
      <c r="AQ74" s="860">
        <f t="shared" si="53"/>
        <v>2518435508</v>
      </c>
      <c r="AR74" s="881">
        <f t="shared" ref="AR74:AR140" si="56">+(AQ74/AP74)</f>
        <v>1.3613164908108109</v>
      </c>
      <c r="AS74" s="861"/>
      <c r="AT74" s="823"/>
      <c r="AU74" s="824"/>
      <c r="AV74" s="825"/>
      <c r="AW74" s="826"/>
      <c r="AX74" s="826"/>
      <c r="BB74" s="1037"/>
      <c r="BD74" s="1037"/>
    </row>
    <row r="75" spans="1:56" ht="82.5" x14ac:dyDescent="0.3">
      <c r="A75" s="827" t="s">
        <v>2372</v>
      </c>
      <c r="B75" s="893" t="s">
        <v>2373</v>
      </c>
      <c r="C75" s="828">
        <v>1</v>
      </c>
      <c r="D75" s="828">
        <v>2</v>
      </c>
      <c r="E75" s="828">
        <v>1</v>
      </c>
      <c r="F75" s="828"/>
      <c r="G75" s="828">
        <v>1</v>
      </c>
      <c r="H75" s="828">
        <v>2</v>
      </c>
      <c r="I75" s="828">
        <v>1</v>
      </c>
      <c r="J75" s="828"/>
      <c r="K75" s="838">
        <f>IF((G75+J75)/C75&gt;=100%,100%,(G75+J75)/C75)</f>
        <v>1</v>
      </c>
      <c r="L75" s="830">
        <f>IF(H75/D75&gt;=100%,100%,H75/D75)</f>
        <v>1</v>
      </c>
      <c r="M75" s="830">
        <f>IF(I75/E75&gt;=100%,100%,I75/E75)</f>
        <v>1</v>
      </c>
      <c r="N75" s="1019" t="s">
        <v>2527</v>
      </c>
      <c r="O75" s="391"/>
      <c r="P75" s="831"/>
      <c r="Q75" s="832"/>
      <c r="R75" s="518"/>
      <c r="S75" s="391"/>
      <c r="T75" s="391"/>
      <c r="U75" s="391"/>
      <c r="V75" s="833"/>
      <c r="W75" s="391"/>
      <c r="X75" s="391">
        <v>3</v>
      </c>
      <c r="Y75" s="835">
        <f>SUM(G75:I75)</f>
        <v>4</v>
      </c>
      <c r="Z75" s="836">
        <f t="shared" si="8"/>
        <v>1</v>
      </c>
      <c r="AA75" s="837">
        <v>0.25</v>
      </c>
      <c r="AB75" s="838">
        <v>0.25</v>
      </c>
      <c r="AC75" s="838">
        <v>0.25</v>
      </c>
      <c r="AD75" s="866">
        <f>+'Anexo 5.2-A. Gastos Rev'!CD71</f>
        <v>851000000</v>
      </c>
      <c r="AE75" s="934"/>
      <c r="AF75" s="862">
        <v>0</v>
      </c>
      <c r="AG75" s="985">
        <f>+'Anexo 5.2-A. Gastos Rev'!CE71</f>
        <v>609228154</v>
      </c>
      <c r="AH75" s="837">
        <f t="shared" si="48"/>
        <v>0.71589677320799061</v>
      </c>
      <c r="AI75" s="935">
        <f>+'Anexo 5.2-A. Gastos Rev'!CF71</f>
        <v>609228153.79999995</v>
      </c>
      <c r="AJ75" s="935">
        <f>+'Anexo 5.2-A. Gastos Rev'!CG71</f>
        <v>609228153.79999995</v>
      </c>
      <c r="AK75" s="994">
        <f t="shared" si="50"/>
        <v>0.99999999967171571</v>
      </c>
      <c r="AL75" s="935">
        <f t="shared" si="51"/>
        <v>0.20000004768371582</v>
      </c>
      <c r="AM75" s="935"/>
      <c r="AN75" s="935"/>
      <c r="AO75" s="843" t="e">
        <f t="shared" si="55"/>
        <v>#DIV/0!</v>
      </c>
      <c r="AP75" s="862"/>
      <c r="AQ75" s="866">
        <f t="shared" si="53"/>
        <v>609228154</v>
      </c>
      <c r="AR75" s="867" t="e">
        <f t="shared" si="56"/>
        <v>#DIV/0!</v>
      </c>
      <c r="AS75" s="936"/>
      <c r="AT75" s="494"/>
      <c r="AU75" s="493" t="s">
        <v>114</v>
      </c>
      <c r="AV75" s="846" t="s">
        <v>2374</v>
      </c>
      <c r="AW75" s="847"/>
      <c r="AX75" s="847"/>
      <c r="BB75" s="1037"/>
      <c r="BD75" s="1037"/>
    </row>
    <row r="76" spans="1:56" ht="26.25" thickBot="1" x14ac:dyDescent="0.3">
      <c r="A76" s="827" t="s">
        <v>2375</v>
      </c>
      <c r="B76" s="893" t="s">
        <v>2376</v>
      </c>
      <c r="C76" s="828">
        <v>1</v>
      </c>
      <c r="D76" s="828">
        <v>1</v>
      </c>
      <c r="E76" s="828">
        <v>200</v>
      </c>
      <c r="F76" s="828"/>
      <c r="G76" s="828">
        <v>1</v>
      </c>
      <c r="H76" s="828">
        <v>1</v>
      </c>
      <c r="I76" s="828">
        <v>0</v>
      </c>
      <c r="J76" s="828"/>
      <c r="K76" s="838">
        <f>IF((G76+J76)/C76&gt;=100%,100%,(G76+J76)/C76)</f>
        <v>1</v>
      </c>
      <c r="L76" s="830">
        <f>IF(H76/D76&gt;=100%,100%,H76/D76)</f>
        <v>1</v>
      </c>
      <c r="M76" s="830">
        <f>IF(I76/E76&gt;=100%,100%,I76/E76)</f>
        <v>0</v>
      </c>
      <c r="N76" s="835" t="s">
        <v>2228</v>
      </c>
      <c r="O76" s="869"/>
      <c r="P76" s="831"/>
      <c r="Q76" s="832"/>
      <c r="R76" s="518"/>
      <c r="S76" s="835"/>
      <c r="T76" s="869"/>
      <c r="U76" s="869"/>
      <c r="V76" s="833"/>
      <c r="W76" s="390"/>
      <c r="X76" s="835">
        <v>2</v>
      </c>
      <c r="Y76" s="835">
        <f>SUM(G76:I76)</f>
        <v>2</v>
      </c>
      <c r="Z76" s="836">
        <f t="shared" si="8"/>
        <v>1</v>
      </c>
      <c r="AA76" s="837">
        <v>0.25</v>
      </c>
      <c r="AB76" s="838">
        <v>0.25</v>
      </c>
      <c r="AC76" s="838">
        <v>0.25</v>
      </c>
      <c r="AD76" s="866">
        <f>+'Anexo 5.2-A. Gastos Rev'!CD72</f>
        <v>0</v>
      </c>
      <c r="AE76" s="934"/>
      <c r="AF76" s="862">
        <v>0</v>
      </c>
      <c r="AG76" s="985">
        <f>+'Anexo 5.2-A. Gastos Rev'!CE72</f>
        <v>0</v>
      </c>
      <c r="AH76" s="837" t="e">
        <f t="shared" si="48"/>
        <v>#DIV/0!</v>
      </c>
      <c r="AI76" s="926">
        <f>+'Anexo 5.2-A. Gastos Rev'!CF72</f>
        <v>0</v>
      </c>
      <c r="AJ76" s="926">
        <f>+'Anexo 5.2-A. Gastos Rev'!CG72</f>
        <v>0</v>
      </c>
      <c r="AK76" s="991" t="e">
        <f t="shared" si="50"/>
        <v>#DIV/0!</v>
      </c>
      <c r="AL76" s="926">
        <f t="shared" si="51"/>
        <v>0</v>
      </c>
      <c r="AM76" s="926"/>
      <c r="AN76" s="926"/>
      <c r="AO76" s="870" t="e">
        <f t="shared" si="55"/>
        <v>#DIV/0!</v>
      </c>
      <c r="AP76" s="839"/>
      <c r="AQ76" s="844">
        <f t="shared" si="53"/>
        <v>0</v>
      </c>
      <c r="AR76" s="835" t="e">
        <f t="shared" si="56"/>
        <v>#DIV/0!</v>
      </c>
      <c r="AS76" s="937"/>
      <c r="AT76" s="494"/>
      <c r="AU76" s="493" t="s">
        <v>114</v>
      </c>
      <c r="AV76" s="846" t="s">
        <v>2374</v>
      </c>
      <c r="AW76" s="847"/>
      <c r="AX76" s="847"/>
      <c r="BB76" s="1037"/>
      <c r="BD76" s="1037"/>
    </row>
    <row r="77" spans="1:56" ht="25.5" x14ac:dyDescent="0.25">
      <c r="A77" s="827" t="s">
        <v>2377</v>
      </c>
      <c r="B77" s="893" t="s">
        <v>2366</v>
      </c>
      <c r="C77" s="828">
        <v>1</v>
      </c>
      <c r="D77" s="828">
        <v>1</v>
      </c>
      <c r="E77" s="828">
        <v>0</v>
      </c>
      <c r="F77" s="828"/>
      <c r="G77" s="828">
        <v>1</v>
      </c>
      <c r="H77" s="828">
        <v>1</v>
      </c>
      <c r="I77" s="828">
        <v>0</v>
      </c>
      <c r="J77" s="828"/>
      <c r="K77" s="838">
        <f>IF((G77+J77)/C77&gt;=100%,100%,(G77+J77)/C77)</f>
        <v>1</v>
      </c>
      <c r="L77" s="830">
        <f>IF(H77/D77&gt;=100%,100%,H77/D77)</f>
        <v>1</v>
      </c>
      <c r="M77" s="830">
        <v>0</v>
      </c>
      <c r="N77" s="878" t="s">
        <v>2229</v>
      </c>
      <c r="O77" s="938"/>
      <c r="P77" s="831"/>
      <c r="Q77" s="832"/>
      <c r="R77" s="518"/>
      <c r="S77" s="878"/>
      <c r="T77" s="938"/>
      <c r="U77" s="938"/>
      <c r="V77" s="833"/>
      <c r="W77" s="390"/>
      <c r="X77" s="835">
        <v>4</v>
      </c>
      <c r="Y77" s="835">
        <f>SUM(G77:I77)</f>
        <v>2</v>
      </c>
      <c r="Z77" s="836">
        <f t="shared" si="8"/>
        <v>0.5</v>
      </c>
      <c r="AA77" s="837">
        <v>0.25</v>
      </c>
      <c r="AB77" s="838">
        <v>0.25</v>
      </c>
      <c r="AC77" s="838">
        <v>0</v>
      </c>
      <c r="AD77" s="866">
        <f>+'Anexo 5.2-A. Gastos Rev'!CD73</f>
        <v>0</v>
      </c>
      <c r="AE77" s="934"/>
      <c r="AF77" s="862">
        <v>0</v>
      </c>
      <c r="AG77" s="985">
        <f>+'Anexo 5.2-A. Gastos Rev'!CE73</f>
        <v>0</v>
      </c>
      <c r="AH77" s="837" t="e">
        <f t="shared" si="48"/>
        <v>#DIV/0!</v>
      </c>
      <c r="AI77" s="926">
        <f>+'Anexo 5.2-A. Gastos Rev'!CF73</f>
        <v>0</v>
      </c>
      <c r="AJ77" s="926">
        <f>+'Anexo 5.2-A. Gastos Rev'!CG73</f>
        <v>0</v>
      </c>
      <c r="AK77" s="991" t="e">
        <f t="shared" si="50"/>
        <v>#DIV/0!</v>
      </c>
      <c r="AL77" s="926">
        <f t="shared" si="51"/>
        <v>0</v>
      </c>
      <c r="AM77" s="926"/>
      <c r="AN77" s="926"/>
      <c r="AO77" s="870" t="e">
        <f t="shared" si="55"/>
        <v>#DIV/0!</v>
      </c>
      <c r="AP77" s="839"/>
      <c r="AQ77" s="844">
        <f t="shared" si="53"/>
        <v>0</v>
      </c>
      <c r="AR77" s="835" t="e">
        <f t="shared" si="56"/>
        <v>#DIV/0!</v>
      </c>
      <c r="AS77" s="937"/>
      <c r="AT77" s="494"/>
      <c r="AU77" s="493" t="s">
        <v>114</v>
      </c>
      <c r="AV77" s="846" t="s">
        <v>2374</v>
      </c>
      <c r="AW77" s="847"/>
      <c r="AX77" s="847"/>
      <c r="BB77" s="1037"/>
      <c r="BD77" s="1037"/>
    </row>
    <row r="78" spans="1:56" ht="26.25" thickBot="1" x14ac:dyDescent="0.3">
      <c r="A78" s="827" t="s">
        <v>2378</v>
      </c>
      <c r="B78" s="893" t="s">
        <v>2379</v>
      </c>
      <c r="C78" s="828">
        <v>1</v>
      </c>
      <c r="D78" s="828">
        <v>2</v>
      </c>
      <c r="E78" s="828">
        <v>1</v>
      </c>
      <c r="F78" s="828"/>
      <c r="G78" s="828">
        <v>1</v>
      </c>
      <c r="H78" s="828">
        <v>2</v>
      </c>
      <c r="I78" s="828">
        <v>1</v>
      </c>
      <c r="J78" s="828"/>
      <c r="K78" s="838">
        <f>IF((G78+J78)/C78&gt;=100%,100%,(G78+J78)/C78)</f>
        <v>1</v>
      </c>
      <c r="L78" s="830">
        <f>IF(H78/D78&gt;=100%,100%,H78/D78)</f>
        <v>1</v>
      </c>
      <c r="M78" s="830">
        <f>IF(I78/E78&gt;=100%,100%,I78/E78)</f>
        <v>1</v>
      </c>
      <c r="N78" s="939" t="s">
        <v>2568</v>
      </c>
      <c r="O78" s="939"/>
      <c r="P78" s="831"/>
      <c r="Q78" s="832"/>
      <c r="R78" s="518"/>
      <c r="S78" s="939"/>
      <c r="T78" s="939"/>
      <c r="U78" s="939"/>
      <c r="V78" s="833"/>
      <c r="W78" s="939"/>
      <c r="X78" s="939">
        <v>5</v>
      </c>
      <c r="Y78" s="835">
        <f>SUM(G78:I78)</f>
        <v>4</v>
      </c>
      <c r="Z78" s="836">
        <f t="shared" si="8"/>
        <v>0.8</v>
      </c>
      <c r="AA78" s="837">
        <v>0.25</v>
      </c>
      <c r="AB78" s="838">
        <v>0.25</v>
      </c>
      <c r="AC78" s="838">
        <v>0.5</v>
      </c>
      <c r="AD78" s="866">
        <f>+'Anexo 5.2-A. Gastos Rev'!CD74</f>
        <v>851000000</v>
      </c>
      <c r="AE78" s="934"/>
      <c r="AF78" s="862">
        <v>0</v>
      </c>
      <c r="AG78" s="985">
        <f>+'Anexo 5.2-A. Gastos Rev'!CE74</f>
        <v>609228154</v>
      </c>
      <c r="AH78" s="837">
        <f t="shared" si="48"/>
        <v>0.71589677320799061</v>
      </c>
      <c r="AI78" s="877">
        <f>+'Anexo 5.2-A. Gastos Rev'!CF74</f>
        <v>609228153.79999995</v>
      </c>
      <c r="AJ78" s="877">
        <f>+'Anexo 5.2-A. Gastos Rev'!CG74</f>
        <v>609228153.79999995</v>
      </c>
      <c r="AK78" s="989">
        <f t="shared" si="50"/>
        <v>0.99999999967171571</v>
      </c>
      <c r="AL78" s="877">
        <f t="shared" si="51"/>
        <v>0.20000004768371582</v>
      </c>
      <c r="AM78" s="877"/>
      <c r="AN78" s="877"/>
      <c r="AO78" s="843" t="e">
        <f t="shared" si="55"/>
        <v>#DIV/0!</v>
      </c>
      <c r="AP78" s="874"/>
      <c r="AQ78" s="879">
        <f t="shared" si="53"/>
        <v>609228154</v>
      </c>
      <c r="AR78" s="878" t="e">
        <f t="shared" si="56"/>
        <v>#DIV/0!</v>
      </c>
      <c r="AS78" s="880"/>
      <c r="AT78" s="494"/>
      <c r="AU78" s="493" t="s">
        <v>114</v>
      </c>
      <c r="AV78" s="846" t="s">
        <v>2374</v>
      </c>
      <c r="AW78" s="847"/>
      <c r="AX78" s="847"/>
      <c r="BB78" s="1037"/>
      <c r="BD78" s="1037"/>
    </row>
    <row r="79" spans="1:56" ht="51" x14ac:dyDescent="0.25">
      <c r="A79" s="765" t="s">
        <v>2169</v>
      </c>
      <c r="B79" s="895"/>
      <c r="C79" s="896"/>
      <c r="D79" s="896"/>
      <c r="E79" s="896"/>
      <c r="F79" s="896"/>
      <c r="G79" s="896"/>
      <c r="H79" s="896"/>
      <c r="I79" s="896"/>
      <c r="J79" s="896"/>
      <c r="K79" s="902">
        <f>+(K80*AA80)+(K93*AA93)</f>
        <v>0.53</v>
      </c>
      <c r="L79" s="902">
        <f>+(L80*AB80)+(L93*AB93)</f>
        <v>0.7198461538461538</v>
      </c>
      <c r="M79" s="902">
        <f>+(M80*AC80)+(M93*AC93)</f>
        <v>0.98560000000000003</v>
      </c>
      <c r="N79" s="940"/>
      <c r="O79" s="940"/>
      <c r="P79" s="770"/>
      <c r="Q79" s="771"/>
      <c r="R79" s="771"/>
      <c r="S79" s="940"/>
      <c r="T79" s="940"/>
      <c r="U79" s="940"/>
      <c r="V79" s="929"/>
      <c r="W79" s="940"/>
      <c r="X79" s="940"/>
      <c r="Y79" s="899"/>
      <c r="Z79" s="900">
        <f>+(Z80*AA80)+(Z93*AA93)</f>
        <v>0.56264191559658028</v>
      </c>
      <c r="AA79" s="901">
        <v>0.2</v>
      </c>
      <c r="AB79" s="902">
        <v>0.2</v>
      </c>
      <c r="AC79" s="902">
        <v>0.2</v>
      </c>
      <c r="AD79" s="941">
        <f>+'Anexo 5.2-A. Gastos Rev'!CD75</f>
        <v>16022075000</v>
      </c>
      <c r="AE79" s="942">
        <f t="shared" ref="AE79:AF79" si="57">+AE80</f>
        <v>8338707785.3599997</v>
      </c>
      <c r="AF79" s="941">
        <f t="shared" si="57"/>
        <v>10897868074.709999</v>
      </c>
      <c r="AG79" s="1030">
        <f>+'Anexo 5.2-A. Gastos Rev'!CE75</f>
        <v>15776763404.6</v>
      </c>
      <c r="AH79" s="901">
        <f t="shared" si="48"/>
        <v>0.98468914947658159</v>
      </c>
      <c r="AI79" s="941">
        <f>+'Anexo 5.2-A. Gastos Rev'!CF75</f>
        <v>10564171959</v>
      </c>
      <c r="AJ79" s="941">
        <f>+'Anexo 5.2-A. Gastos Rev'!CG75</f>
        <v>10521125459</v>
      </c>
      <c r="AK79" s="977">
        <f t="shared" si="50"/>
        <v>0.66960324421926898</v>
      </c>
      <c r="AL79" s="941">
        <f t="shared" si="51"/>
        <v>5212591445.6000004</v>
      </c>
      <c r="AM79" s="941">
        <f t="shared" ref="AM79:AN79" si="58">+AM80</f>
        <v>0</v>
      </c>
      <c r="AN79" s="941">
        <f t="shared" si="58"/>
        <v>0</v>
      </c>
      <c r="AO79" s="905" t="e">
        <f t="shared" si="55"/>
        <v>#DIV/0!</v>
      </c>
      <c r="AP79" s="904">
        <f>+AP80</f>
        <v>43470000000</v>
      </c>
      <c r="AQ79" s="906">
        <f t="shared" si="53"/>
        <v>35013339264.669998</v>
      </c>
      <c r="AR79" s="897">
        <f t="shared" si="56"/>
        <v>0.80545984045709684</v>
      </c>
      <c r="AS79" s="907"/>
      <c r="AT79" s="908" t="s">
        <v>90</v>
      </c>
      <c r="AU79" s="909"/>
      <c r="AV79" s="910"/>
      <c r="AW79" s="911"/>
      <c r="AX79" s="911"/>
      <c r="BB79" s="1037"/>
      <c r="BD79" s="1037"/>
    </row>
    <row r="80" spans="1:56" ht="25.5" x14ac:dyDescent="0.25">
      <c r="A80" s="786" t="s">
        <v>2236</v>
      </c>
      <c r="B80" s="787"/>
      <c r="C80" s="788"/>
      <c r="D80" s="788"/>
      <c r="E80" s="788"/>
      <c r="F80" s="788"/>
      <c r="G80" s="788"/>
      <c r="H80" s="788"/>
      <c r="I80" s="788"/>
      <c r="J80" s="788"/>
      <c r="K80" s="795">
        <f>+(K81*AA81)</f>
        <v>0.75</v>
      </c>
      <c r="L80" s="795">
        <f>+(L81*AB81)</f>
        <v>0.84307692307692306</v>
      </c>
      <c r="M80" s="795">
        <f>+(M81*AC81)</f>
        <v>0.97599999999999998</v>
      </c>
      <c r="N80" s="943"/>
      <c r="O80" s="943"/>
      <c r="P80" s="790"/>
      <c r="Q80" s="791"/>
      <c r="R80" s="791"/>
      <c r="S80" s="943"/>
      <c r="T80" s="943"/>
      <c r="U80" s="943"/>
      <c r="V80" s="914"/>
      <c r="W80" s="943"/>
      <c r="X80" s="943"/>
      <c r="Y80" s="791"/>
      <c r="Z80" s="793">
        <f>+(Z81*AA81)</f>
        <v>0.65356985932763378</v>
      </c>
      <c r="AA80" s="794">
        <v>0.6</v>
      </c>
      <c r="AB80" s="795">
        <v>0.6</v>
      </c>
      <c r="AC80" s="795">
        <v>0.6</v>
      </c>
      <c r="AD80" s="915">
        <f>+'Anexo 5.2-A. Gastos Rev'!CD76</f>
        <v>15522075000</v>
      </c>
      <c r="AE80" s="931">
        <f t="shared" ref="AE80:AF80" si="59">+AE81+AE94</f>
        <v>8338707785.3599997</v>
      </c>
      <c r="AF80" s="915">
        <f t="shared" si="59"/>
        <v>10897868074.709999</v>
      </c>
      <c r="AG80" s="916">
        <f>+'Anexo 5.2-A. Gastos Rev'!CE76</f>
        <v>15276771404.6</v>
      </c>
      <c r="AH80" s="794">
        <f t="shared" si="48"/>
        <v>0.9841964688741679</v>
      </c>
      <c r="AI80" s="915">
        <f>+'Anexo 5.2-A. Gastos Rev'!CF76</f>
        <v>10064179959</v>
      </c>
      <c r="AJ80" s="915">
        <f>+'Anexo 5.2-A. Gastos Rev'!CG76</f>
        <v>10021133459</v>
      </c>
      <c r="AK80" s="978">
        <f t="shared" si="50"/>
        <v>0.65878972018718351</v>
      </c>
      <c r="AL80" s="915">
        <f t="shared" si="51"/>
        <v>5212591445.6000004</v>
      </c>
      <c r="AM80" s="915">
        <f t="shared" ref="AM80:AN80" si="60">+AM81+AM94</f>
        <v>0</v>
      </c>
      <c r="AN80" s="915">
        <f t="shared" si="60"/>
        <v>0</v>
      </c>
      <c r="AO80" s="799" t="e">
        <f t="shared" si="55"/>
        <v>#DIV/0!</v>
      </c>
      <c r="AP80" s="916">
        <f>+AP81+AP94</f>
        <v>43470000000</v>
      </c>
      <c r="AQ80" s="917">
        <f t="shared" si="53"/>
        <v>34513347264.669998</v>
      </c>
      <c r="AR80" s="918">
        <f t="shared" si="56"/>
        <v>0.79395783907683459</v>
      </c>
      <c r="AS80" s="919"/>
      <c r="AT80" s="802"/>
      <c r="AU80" s="803"/>
      <c r="AV80" s="804"/>
      <c r="AW80" s="805"/>
      <c r="AX80" s="805"/>
      <c r="BB80" s="1037"/>
      <c r="BD80" s="1037"/>
    </row>
    <row r="81" spans="1:56" x14ac:dyDescent="0.25">
      <c r="A81" s="806" t="s">
        <v>2170</v>
      </c>
      <c r="B81" s="807"/>
      <c r="C81" s="808"/>
      <c r="D81" s="808"/>
      <c r="E81" s="808"/>
      <c r="F81" s="808"/>
      <c r="G81" s="808"/>
      <c r="H81" s="808"/>
      <c r="I81" s="808"/>
      <c r="J81" s="808"/>
      <c r="K81" s="809">
        <f>+(K82*AA82)+(K83*AA83)+(K84*AA84)+(K85*AA85)+(K86*AA86)+(K87*AA87)+(K88*AA88)+(K89*AA89)+(K90*AA90)+(K91*AA91)+(K92*AA92)</f>
        <v>0.75</v>
      </c>
      <c r="L81" s="810">
        <f>+(L82*AB82)+(L83*AB83)+(L84*AB84)+(L85*AB85)+(L86*AB86)+(L87*AB87)+(L88*AB88)+(L89*AB89)+(L90*AB90)+(L91*AB91)+(L92*AB92)</f>
        <v>0.84307692307692306</v>
      </c>
      <c r="M81" s="810">
        <f>+(M82*AC82)+(M83*AC83)+(M84*AC84)+(M85*AC85)+(M86*AC86)+(M87*AC87)+(M88*AC88)+(M89*AC89)+(M90*AC90)+(M91*AC91)+(M92*AC92)</f>
        <v>0.97599999999999998</v>
      </c>
      <c r="N81" s="944"/>
      <c r="O81" s="944"/>
      <c r="P81" s="811"/>
      <c r="Q81" s="812"/>
      <c r="R81" s="812"/>
      <c r="S81" s="944"/>
      <c r="T81" s="944"/>
      <c r="U81" s="944"/>
      <c r="V81" s="855"/>
      <c r="W81" s="944"/>
      <c r="X81" s="944"/>
      <c r="Y81" s="812"/>
      <c r="Z81" s="814">
        <f>+(Z82*AA82)+(Z83*AA83)+(Z84*AA84)+(Z85*AA85)+(Z86*AA86)+(Z87*AA87)+(Z88*AA88)+(Z89*AA89)+(Z90*AA90)+(Z91*AA91)+(Z92*AA92)</f>
        <v>0.65356985932763378</v>
      </c>
      <c r="AA81" s="815">
        <v>1</v>
      </c>
      <c r="AB81" s="809">
        <v>1</v>
      </c>
      <c r="AC81" s="809">
        <v>1</v>
      </c>
      <c r="AD81" s="856">
        <f>+'Anexo 5.2-A. Gastos Rev'!CD77</f>
        <v>15522075000</v>
      </c>
      <c r="AE81" s="933">
        <v>8338707785.3599997</v>
      </c>
      <c r="AF81" s="856">
        <f>+SUM(AF82:AF92)</f>
        <v>10897868074.709999</v>
      </c>
      <c r="AG81" s="858">
        <f>+'Anexo 5.2-A. Gastos Rev'!CE77</f>
        <v>15276771404.6</v>
      </c>
      <c r="AH81" s="815">
        <f t="shared" si="48"/>
        <v>0.9841964688741679</v>
      </c>
      <c r="AI81" s="856">
        <f>+'Anexo 5.2-A. Gastos Rev'!CF77</f>
        <v>10064179959</v>
      </c>
      <c r="AJ81" s="856">
        <f>+'Anexo 5.2-A. Gastos Rev'!CG77</f>
        <v>10021133459</v>
      </c>
      <c r="AK81" s="979">
        <f t="shared" si="50"/>
        <v>0.65878972018718351</v>
      </c>
      <c r="AL81" s="856">
        <f t="shared" si="51"/>
        <v>5212591445.6000004</v>
      </c>
      <c r="AM81" s="856">
        <f t="shared" ref="AM81:AN81" si="61">+SUM(AM82:AM92)</f>
        <v>0</v>
      </c>
      <c r="AN81" s="856">
        <f t="shared" si="61"/>
        <v>0</v>
      </c>
      <c r="AO81" s="820" t="e">
        <f t="shared" si="55"/>
        <v>#DIV/0!</v>
      </c>
      <c r="AP81" s="858">
        <v>41270000000</v>
      </c>
      <c r="AQ81" s="860">
        <f t="shared" si="53"/>
        <v>34513347264.669998</v>
      </c>
      <c r="AR81" s="881">
        <f t="shared" si="56"/>
        <v>0.83628173648340198</v>
      </c>
      <c r="AS81" s="861"/>
      <c r="AT81" s="823"/>
      <c r="AU81" s="824"/>
      <c r="AV81" s="825"/>
      <c r="AW81" s="826"/>
      <c r="AX81" s="826"/>
      <c r="BB81" s="1037"/>
      <c r="BD81" s="1037"/>
    </row>
    <row r="82" spans="1:56" ht="38.25" x14ac:dyDescent="0.25">
      <c r="A82" s="827" t="s">
        <v>2380</v>
      </c>
      <c r="B82" s="893" t="s">
        <v>2381</v>
      </c>
      <c r="C82" s="828">
        <v>360</v>
      </c>
      <c r="D82" s="828">
        <v>580</v>
      </c>
      <c r="E82" s="828">
        <v>1250</v>
      </c>
      <c r="F82" s="828"/>
      <c r="G82" s="828">
        <v>360</v>
      </c>
      <c r="H82" s="828">
        <v>580</v>
      </c>
      <c r="I82" s="828">
        <v>1100</v>
      </c>
      <c r="J82" s="828"/>
      <c r="K82" s="838">
        <f t="shared" ref="K82:K92" si="62">IF((G82+J82)/C82&gt;=100%,100%,(G82+J82)/C82)</f>
        <v>1</v>
      </c>
      <c r="L82" s="830">
        <f>IF(H82/D82&gt;=100%,100%,H82/D82)</f>
        <v>1</v>
      </c>
      <c r="M82" s="830">
        <f>IF(I82/E82&gt;=100%,100%,I82/E82)</f>
        <v>0.88</v>
      </c>
      <c r="N82" s="945" t="s">
        <v>2569</v>
      </c>
      <c r="O82" s="945"/>
      <c r="P82" s="832" t="s">
        <v>75</v>
      </c>
      <c r="Q82" s="832"/>
      <c r="R82" s="832" t="s">
        <v>2521</v>
      </c>
      <c r="S82" s="945" t="s">
        <v>2570</v>
      </c>
      <c r="T82" s="945"/>
      <c r="U82" s="945"/>
      <c r="V82" s="833"/>
      <c r="W82" s="945"/>
      <c r="X82" s="945">
        <v>1240</v>
      </c>
      <c r="Y82" s="835">
        <f t="shared" ref="Y82:Y92" si="63">SUM(G82:I82)</f>
        <v>2040</v>
      </c>
      <c r="Z82" s="836">
        <f t="shared" si="8"/>
        <v>1</v>
      </c>
      <c r="AA82" s="837">
        <v>0.1</v>
      </c>
      <c r="AB82" s="838">
        <v>0.1</v>
      </c>
      <c r="AC82" s="838">
        <v>0.2</v>
      </c>
      <c r="AD82" s="866">
        <f>+'Anexo 5.2-A. Gastos Rev'!CD78</f>
        <v>10508400000</v>
      </c>
      <c r="AE82" s="934"/>
      <c r="AF82" s="866">
        <v>3090813999.98</v>
      </c>
      <c r="AG82" s="985">
        <f>+'Anexo 5.2-A. Gastos Rev'!CE78</f>
        <v>10508400000</v>
      </c>
      <c r="AH82" s="837">
        <f t="shared" si="48"/>
        <v>1</v>
      </c>
      <c r="AI82" s="1003">
        <f>+'Anexo 5.2-A. Gastos Rev'!CF78</f>
        <v>8182003583.1000004</v>
      </c>
      <c r="AJ82" s="1003">
        <f>+'Anexo 5.2-A. Gastos Rev'!CG78</f>
        <v>8182003583.1000004</v>
      </c>
      <c r="AK82" s="1004">
        <f t="shared" si="50"/>
        <v>0.77861554405047395</v>
      </c>
      <c r="AL82" s="1003">
        <f t="shared" si="51"/>
        <v>2326396416.8999996</v>
      </c>
      <c r="AM82" s="1003"/>
      <c r="AN82" s="935"/>
      <c r="AO82" s="843" t="e">
        <f t="shared" si="55"/>
        <v>#DIV/0!</v>
      </c>
      <c r="AP82" s="862"/>
      <c r="AQ82" s="866">
        <f t="shared" si="53"/>
        <v>13599213999.98</v>
      </c>
      <c r="AR82" s="867" t="e">
        <f t="shared" si="56"/>
        <v>#DIV/0!</v>
      </c>
      <c r="AS82" s="936"/>
      <c r="AT82" s="494"/>
      <c r="AU82" s="493" t="s">
        <v>95</v>
      </c>
      <c r="AV82" s="846" t="s">
        <v>2345</v>
      </c>
      <c r="AW82" s="847"/>
      <c r="AX82" s="847"/>
      <c r="BB82" s="1037"/>
      <c r="BD82" s="1037"/>
    </row>
    <row r="83" spans="1:56" ht="38.25" x14ac:dyDescent="0.25">
      <c r="A83" s="827" t="s">
        <v>2382</v>
      </c>
      <c r="B83" s="893" t="s">
        <v>2381</v>
      </c>
      <c r="C83" s="828">
        <v>540</v>
      </c>
      <c r="D83" s="828">
        <v>650</v>
      </c>
      <c r="E83" s="828">
        <v>200</v>
      </c>
      <c r="F83" s="828"/>
      <c r="G83" s="828">
        <v>540</v>
      </c>
      <c r="H83" s="828">
        <v>605</v>
      </c>
      <c r="I83" s="828">
        <v>200</v>
      </c>
      <c r="J83" s="828"/>
      <c r="K83" s="838">
        <f t="shared" si="62"/>
        <v>1</v>
      </c>
      <c r="L83" s="830">
        <f>IF(H83/D83&gt;=100%,100%,H83/D83)</f>
        <v>0.93076923076923079</v>
      </c>
      <c r="M83" s="830">
        <f>IF(I83/E83&gt;=100%,100%,I83/E83)</f>
        <v>1</v>
      </c>
      <c r="N83" s="945" t="s">
        <v>2227</v>
      </c>
      <c r="O83" s="945"/>
      <c r="P83" s="831"/>
      <c r="Q83" s="832"/>
      <c r="R83" s="518"/>
      <c r="S83" s="945"/>
      <c r="T83" s="945"/>
      <c r="U83" s="945"/>
      <c r="V83" s="833"/>
      <c r="W83" s="945"/>
      <c r="X83" s="945">
        <v>1570</v>
      </c>
      <c r="Y83" s="835">
        <f t="shared" si="63"/>
        <v>1345</v>
      </c>
      <c r="Z83" s="836">
        <f t="shared" si="8"/>
        <v>0.85668789808917201</v>
      </c>
      <c r="AA83" s="837">
        <v>0.1</v>
      </c>
      <c r="AB83" s="838">
        <v>0.1</v>
      </c>
      <c r="AC83" s="838">
        <v>0.1</v>
      </c>
      <c r="AD83" s="866">
        <f>+'Anexo 5.2-A. Gastos Rev'!CD79</f>
        <v>2401603346.4000001</v>
      </c>
      <c r="AE83" s="934"/>
      <c r="AF83" s="866">
        <v>2984069096.1500001</v>
      </c>
      <c r="AG83" s="985">
        <f>+'Anexo 5.2-A. Gastos Rev'!CE79</f>
        <v>2156299751</v>
      </c>
      <c r="AH83" s="837">
        <f t="shared" si="48"/>
        <v>0.89785840539916395</v>
      </c>
      <c r="AI83" s="1003">
        <f>+'Anexo 5.2-A. Gastos Rev'!CF79</f>
        <v>0</v>
      </c>
      <c r="AJ83" s="1003">
        <f>+'Anexo 5.2-A. Gastos Rev'!CG79</f>
        <v>0</v>
      </c>
      <c r="AK83" s="1004">
        <f t="shared" si="50"/>
        <v>0</v>
      </c>
      <c r="AL83" s="1003">
        <f t="shared" si="51"/>
        <v>2156299751</v>
      </c>
      <c r="AM83" s="1003"/>
      <c r="AN83" s="935"/>
      <c r="AO83" s="843" t="e">
        <f t="shared" si="55"/>
        <v>#DIV/0!</v>
      </c>
      <c r="AP83" s="862"/>
      <c r="AQ83" s="866">
        <f t="shared" si="53"/>
        <v>5140368847.1499996</v>
      </c>
      <c r="AR83" s="867" t="e">
        <f t="shared" si="56"/>
        <v>#DIV/0!</v>
      </c>
      <c r="AS83" s="936"/>
      <c r="AT83" s="494"/>
      <c r="AU83" s="493" t="s">
        <v>95</v>
      </c>
      <c r="AV83" s="846" t="s">
        <v>2317</v>
      </c>
      <c r="AW83" s="847"/>
      <c r="AX83" s="847"/>
      <c r="BB83" s="1037"/>
      <c r="BD83" s="1037"/>
    </row>
    <row r="84" spans="1:56" ht="57.75" customHeight="1" x14ac:dyDescent="0.25">
      <c r="A84" s="827" t="s">
        <v>2383</v>
      </c>
      <c r="B84" s="893" t="s">
        <v>2340</v>
      </c>
      <c r="C84" s="828">
        <v>1</v>
      </c>
      <c r="D84" s="828">
        <v>1</v>
      </c>
      <c r="E84" s="828">
        <v>0</v>
      </c>
      <c r="F84" s="828"/>
      <c r="G84" s="828">
        <v>1</v>
      </c>
      <c r="H84" s="828">
        <v>1</v>
      </c>
      <c r="I84" s="828">
        <v>0</v>
      </c>
      <c r="J84" s="828"/>
      <c r="K84" s="838">
        <f t="shared" si="62"/>
        <v>1</v>
      </c>
      <c r="L84" s="830">
        <f t="shared" ref="L84:L92" si="64">IF(H84/D84&gt;=100%,100%,H84/D84)</f>
        <v>1</v>
      </c>
      <c r="M84" s="830">
        <v>0</v>
      </c>
      <c r="N84" s="945"/>
      <c r="O84" s="945"/>
      <c r="P84" s="831"/>
      <c r="Q84" s="832"/>
      <c r="R84" s="518"/>
      <c r="S84" s="945"/>
      <c r="T84" s="945"/>
      <c r="U84" s="945"/>
      <c r="V84" s="833"/>
      <c r="W84" s="945"/>
      <c r="X84" s="945">
        <v>2</v>
      </c>
      <c r="Y84" s="835">
        <f t="shared" si="63"/>
        <v>2</v>
      </c>
      <c r="Z84" s="836">
        <f t="shared" si="8"/>
        <v>1</v>
      </c>
      <c r="AA84" s="837">
        <v>0.1</v>
      </c>
      <c r="AB84" s="838">
        <v>0.1</v>
      </c>
      <c r="AC84" s="838">
        <v>0</v>
      </c>
      <c r="AD84" s="866">
        <f>+'Anexo 5.2-A. Gastos Rev'!CD80</f>
        <v>0</v>
      </c>
      <c r="AE84" s="934"/>
      <c r="AF84" s="866">
        <v>0</v>
      </c>
      <c r="AG84" s="985">
        <f>+'Anexo 5.2-A. Gastos Rev'!CE80</f>
        <v>0</v>
      </c>
      <c r="AH84" s="837" t="e">
        <f t="shared" si="48"/>
        <v>#DIV/0!</v>
      </c>
      <c r="AI84" s="1003">
        <f>+'Anexo 5.2-A. Gastos Rev'!CF80</f>
        <v>0</v>
      </c>
      <c r="AJ84" s="1003">
        <f>+'Anexo 5.2-A. Gastos Rev'!CG80</f>
        <v>0</v>
      </c>
      <c r="AK84" s="1004" t="e">
        <f t="shared" si="50"/>
        <v>#DIV/0!</v>
      </c>
      <c r="AL84" s="1003">
        <f t="shared" si="51"/>
        <v>0</v>
      </c>
      <c r="AM84" s="1003"/>
      <c r="AN84" s="935"/>
      <c r="AO84" s="843" t="e">
        <f t="shared" si="55"/>
        <v>#DIV/0!</v>
      </c>
      <c r="AP84" s="862"/>
      <c r="AQ84" s="866">
        <f t="shared" si="53"/>
        <v>0</v>
      </c>
      <c r="AR84" s="867" t="e">
        <f t="shared" si="56"/>
        <v>#DIV/0!</v>
      </c>
      <c r="AS84" s="936"/>
      <c r="AT84" s="494"/>
      <c r="AU84" s="493" t="s">
        <v>89</v>
      </c>
      <c r="AV84" s="846" t="s">
        <v>2384</v>
      </c>
      <c r="AW84" s="847"/>
      <c r="AX84" s="847"/>
      <c r="BB84" s="1037"/>
      <c r="BD84" s="1037"/>
    </row>
    <row r="85" spans="1:56" ht="51" x14ac:dyDescent="0.25">
      <c r="A85" s="827" t="s">
        <v>2385</v>
      </c>
      <c r="B85" s="893" t="s">
        <v>2359</v>
      </c>
      <c r="C85" s="828">
        <v>1</v>
      </c>
      <c r="D85" s="828">
        <v>1</v>
      </c>
      <c r="E85" s="828">
        <v>1</v>
      </c>
      <c r="F85" s="828"/>
      <c r="G85" s="828">
        <v>1</v>
      </c>
      <c r="H85" s="828">
        <v>1</v>
      </c>
      <c r="I85" s="828">
        <v>1</v>
      </c>
      <c r="J85" s="828"/>
      <c r="K85" s="838">
        <f t="shared" si="62"/>
        <v>1</v>
      </c>
      <c r="L85" s="830">
        <f t="shared" si="64"/>
        <v>1</v>
      </c>
      <c r="M85" s="830">
        <f>IF(I85/E85&gt;=100%,100%,I85/E85)</f>
        <v>1</v>
      </c>
      <c r="N85" s="945" t="s">
        <v>2571</v>
      </c>
      <c r="O85" s="945"/>
      <c r="P85" s="831"/>
      <c r="Q85" s="832"/>
      <c r="R85" s="518"/>
      <c r="S85" s="945"/>
      <c r="T85" s="945"/>
      <c r="U85" s="945"/>
      <c r="V85" s="833"/>
      <c r="W85" s="945"/>
      <c r="X85" s="945">
        <v>4</v>
      </c>
      <c r="Y85" s="835">
        <f t="shared" si="63"/>
        <v>3</v>
      </c>
      <c r="Z85" s="836">
        <f t="shared" si="8"/>
        <v>0.75</v>
      </c>
      <c r="AA85" s="837">
        <v>0.1</v>
      </c>
      <c r="AB85" s="838">
        <v>0.1</v>
      </c>
      <c r="AC85" s="838">
        <v>0.1</v>
      </c>
      <c r="AD85" s="866">
        <f>+'Anexo 5.2-A. Gastos Rev'!CD81</f>
        <v>200400000</v>
      </c>
      <c r="AE85" s="934"/>
      <c r="AF85" s="866">
        <v>181675252.78</v>
      </c>
      <c r="AG85" s="985">
        <f>+'Anexo 5.2-A. Gastos Rev'!CE81</f>
        <v>200400000</v>
      </c>
      <c r="AH85" s="837">
        <f t="shared" si="48"/>
        <v>1</v>
      </c>
      <c r="AI85" s="1003">
        <f>+'Anexo 5.2-A. Gastos Rev'!CF81</f>
        <v>0</v>
      </c>
      <c r="AJ85" s="1003">
        <f>+'Anexo 5.2-A. Gastos Rev'!CG81</f>
        <v>0</v>
      </c>
      <c r="AK85" s="1004">
        <f t="shared" si="50"/>
        <v>0</v>
      </c>
      <c r="AL85" s="1003">
        <f t="shared" si="51"/>
        <v>200400000</v>
      </c>
      <c r="AM85" s="1003"/>
      <c r="AN85" s="935"/>
      <c r="AO85" s="843" t="e">
        <f t="shared" si="55"/>
        <v>#DIV/0!</v>
      </c>
      <c r="AP85" s="862"/>
      <c r="AQ85" s="866">
        <f t="shared" si="53"/>
        <v>382075252.77999997</v>
      </c>
      <c r="AR85" s="867" t="e">
        <f t="shared" si="56"/>
        <v>#DIV/0!</v>
      </c>
      <c r="AS85" s="936"/>
      <c r="AT85" s="494"/>
      <c r="AU85" s="493" t="s">
        <v>116</v>
      </c>
      <c r="AV85" s="846" t="s">
        <v>2386</v>
      </c>
      <c r="AW85" s="847"/>
      <c r="AX85" s="847"/>
      <c r="BB85" s="1037"/>
      <c r="BD85" s="1037"/>
    </row>
    <row r="86" spans="1:56" ht="96.75" customHeight="1" x14ac:dyDescent="0.25">
      <c r="A86" s="827" t="s">
        <v>2387</v>
      </c>
      <c r="B86" s="893" t="s">
        <v>2388</v>
      </c>
      <c r="C86" s="828">
        <v>1</v>
      </c>
      <c r="D86" s="828">
        <v>1</v>
      </c>
      <c r="E86" s="828">
        <v>1</v>
      </c>
      <c r="F86" s="828"/>
      <c r="G86" s="828">
        <v>0</v>
      </c>
      <c r="H86" s="828">
        <v>0</v>
      </c>
      <c r="I86" s="828">
        <v>1</v>
      </c>
      <c r="J86" s="828"/>
      <c r="K86" s="838">
        <f t="shared" si="62"/>
        <v>0</v>
      </c>
      <c r="L86" s="830">
        <f t="shared" si="64"/>
        <v>0</v>
      </c>
      <c r="M86" s="830">
        <f>IF(I86/E86&gt;=100%,100%,I86/E86)</f>
        <v>1</v>
      </c>
      <c r="N86" s="945" t="s">
        <v>2572</v>
      </c>
      <c r="O86" s="945"/>
      <c r="P86" s="832" t="s">
        <v>75</v>
      </c>
      <c r="Q86" s="832"/>
      <c r="R86" s="832" t="s">
        <v>2573</v>
      </c>
      <c r="S86" s="945" t="s">
        <v>2574</v>
      </c>
      <c r="T86" s="945"/>
      <c r="U86" s="945"/>
      <c r="V86" s="833"/>
      <c r="W86" s="945"/>
      <c r="X86" s="945">
        <v>4</v>
      </c>
      <c r="Y86" s="835">
        <f t="shared" si="63"/>
        <v>1</v>
      </c>
      <c r="Z86" s="836">
        <f t="shared" si="8"/>
        <v>0.25</v>
      </c>
      <c r="AA86" s="837">
        <v>0.05</v>
      </c>
      <c r="AB86" s="838">
        <v>0.05</v>
      </c>
      <c r="AC86" s="838">
        <v>0.05</v>
      </c>
      <c r="AD86" s="866">
        <f>+'Anexo 5.2-A. Gastos Rev'!CD82</f>
        <v>1000000000</v>
      </c>
      <c r="AE86" s="934"/>
      <c r="AF86" s="866">
        <v>0</v>
      </c>
      <c r="AG86" s="985">
        <f>+'Anexo 5.2-A. Gastos Rev'!CE82</f>
        <v>1000000000</v>
      </c>
      <c r="AH86" s="837">
        <f t="shared" si="48"/>
        <v>1</v>
      </c>
      <c r="AI86" s="1003">
        <f>+'Anexo 5.2-A. Gastos Rev'!CF82</f>
        <v>998477262.03999996</v>
      </c>
      <c r="AJ86" s="1003">
        <f>+'Anexo 5.2-A. Gastos Rev'!CG82</f>
        <v>998477262.03999996</v>
      </c>
      <c r="AK86" s="1004">
        <f t="shared" si="50"/>
        <v>0.99847726203999998</v>
      </c>
      <c r="AL86" s="1003">
        <f t="shared" si="51"/>
        <v>1522737.9600000381</v>
      </c>
      <c r="AM86" s="1003"/>
      <c r="AN86" s="935"/>
      <c r="AO86" s="843" t="e">
        <f t="shared" si="55"/>
        <v>#DIV/0!</v>
      </c>
      <c r="AP86" s="862"/>
      <c r="AQ86" s="866">
        <f t="shared" si="53"/>
        <v>1000000000</v>
      </c>
      <c r="AR86" s="867" t="e">
        <f t="shared" si="56"/>
        <v>#DIV/0!</v>
      </c>
      <c r="AS86" s="936"/>
      <c r="AT86" s="494"/>
      <c r="AU86" s="493" t="s">
        <v>93</v>
      </c>
      <c r="AV86" s="846" t="s">
        <v>2389</v>
      </c>
      <c r="AW86" s="847"/>
      <c r="AX86" s="847"/>
      <c r="BB86" s="1037"/>
      <c r="BD86" s="1037"/>
    </row>
    <row r="87" spans="1:56" ht="80.25" customHeight="1" x14ac:dyDescent="0.25">
      <c r="A87" s="827" t="s">
        <v>2390</v>
      </c>
      <c r="B87" s="893" t="s">
        <v>2391</v>
      </c>
      <c r="C87" s="828">
        <v>1</v>
      </c>
      <c r="D87" s="828">
        <v>1</v>
      </c>
      <c r="E87" s="828">
        <v>1</v>
      </c>
      <c r="F87" s="828"/>
      <c r="G87" s="828">
        <v>1</v>
      </c>
      <c r="H87" s="828">
        <v>1</v>
      </c>
      <c r="I87" s="828">
        <v>1</v>
      </c>
      <c r="J87" s="828"/>
      <c r="K87" s="838">
        <f t="shared" si="62"/>
        <v>1</v>
      </c>
      <c r="L87" s="830">
        <f t="shared" si="64"/>
        <v>1</v>
      </c>
      <c r="M87" s="830">
        <f>IF(I87/E87&gt;=100%,100%,I87/E87)</f>
        <v>1</v>
      </c>
      <c r="N87" s="945" t="s">
        <v>2575</v>
      </c>
      <c r="O87" s="945"/>
      <c r="P87" s="831"/>
      <c r="Q87" s="832"/>
      <c r="R87" s="518"/>
      <c r="S87" s="945"/>
      <c r="T87" s="945"/>
      <c r="U87" s="945"/>
      <c r="V87" s="833"/>
      <c r="W87" s="945"/>
      <c r="X87" s="945">
        <v>4</v>
      </c>
      <c r="Y87" s="835">
        <f t="shared" si="63"/>
        <v>3</v>
      </c>
      <c r="Z87" s="836">
        <f t="shared" si="8"/>
        <v>0.75</v>
      </c>
      <c r="AA87" s="837">
        <v>0.1</v>
      </c>
      <c r="AB87" s="838">
        <v>0.1</v>
      </c>
      <c r="AC87" s="838">
        <v>0.1</v>
      </c>
      <c r="AD87" s="866">
        <f>+'Anexo 5.2-A. Gastos Rev'!CD83</f>
        <v>200400000</v>
      </c>
      <c r="AE87" s="934"/>
      <c r="AF87" s="866">
        <v>150059766.66999999</v>
      </c>
      <c r="AG87" s="985">
        <f>+'Anexo 5.2-A. Gastos Rev'!CE83</f>
        <v>200400000</v>
      </c>
      <c r="AH87" s="837">
        <f t="shared" si="48"/>
        <v>1</v>
      </c>
      <c r="AI87" s="1003">
        <f>+'Anexo 5.2-A. Gastos Rev'!CF83</f>
        <v>192255960</v>
      </c>
      <c r="AJ87" s="1003">
        <f>+'Anexo 5.2-A. Gastos Rev'!CG83</f>
        <v>192255960</v>
      </c>
      <c r="AK87" s="1004">
        <f t="shared" si="50"/>
        <v>0.95936107784431135</v>
      </c>
      <c r="AL87" s="1003">
        <f t="shared" si="51"/>
        <v>8144040</v>
      </c>
      <c r="AM87" s="1003"/>
      <c r="AN87" s="935"/>
      <c r="AO87" s="843" t="e">
        <f t="shared" si="55"/>
        <v>#DIV/0!</v>
      </c>
      <c r="AP87" s="862"/>
      <c r="AQ87" s="866">
        <f t="shared" si="53"/>
        <v>350459766.66999996</v>
      </c>
      <c r="AR87" s="867" t="e">
        <f t="shared" si="56"/>
        <v>#DIV/0!</v>
      </c>
      <c r="AS87" s="936"/>
      <c r="AT87" s="494"/>
      <c r="AU87" s="493" t="s">
        <v>93</v>
      </c>
      <c r="AV87" s="846" t="s">
        <v>2389</v>
      </c>
      <c r="AW87" s="847"/>
      <c r="AX87" s="847"/>
      <c r="BB87" s="1037"/>
      <c r="BD87" s="1037"/>
    </row>
    <row r="88" spans="1:56" ht="63.75" x14ac:dyDescent="0.25">
      <c r="A88" s="827" t="s">
        <v>2392</v>
      </c>
      <c r="B88" s="893" t="s">
        <v>2393</v>
      </c>
      <c r="C88" s="828">
        <v>2</v>
      </c>
      <c r="D88" s="828">
        <v>2</v>
      </c>
      <c r="E88" s="828">
        <v>3</v>
      </c>
      <c r="F88" s="828"/>
      <c r="G88" s="828">
        <v>2</v>
      </c>
      <c r="H88" s="828">
        <v>2</v>
      </c>
      <c r="I88" s="828">
        <v>3</v>
      </c>
      <c r="J88" s="828"/>
      <c r="K88" s="838">
        <f t="shared" si="62"/>
        <v>1</v>
      </c>
      <c r="L88" s="830">
        <f t="shared" si="64"/>
        <v>1</v>
      </c>
      <c r="M88" s="830">
        <f>IF(I88/E88&gt;=100%,100%,I88/E88)</f>
        <v>1</v>
      </c>
      <c r="N88" s="945" t="s">
        <v>2560</v>
      </c>
      <c r="O88" s="945"/>
      <c r="P88" s="831"/>
      <c r="Q88" s="832"/>
      <c r="R88" s="518"/>
      <c r="S88" s="945"/>
      <c r="T88" s="945"/>
      <c r="U88" s="945"/>
      <c r="V88" s="833"/>
      <c r="W88" s="945"/>
      <c r="X88" s="945">
        <v>11</v>
      </c>
      <c r="Y88" s="835">
        <f t="shared" si="63"/>
        <v>7</v>
      </c>
      <c r="Z88" s="836">
        <f t="shared" si="8"/>
        <v>0.63636363636363635</v>
      </c>
      <c r="AA88" s="837">
        <v>0.1</v>
      </c>
      <c r="AB88" s="838">
        <v>0.1</v>
      </c>
      <c r="AC88" s="838">
        <v>0.1</v>
      </c>
      <c r="AD88" s="866">
        <f>+'Anexo 5.2-A. Gastos Rev'!CD84</f>
        <v>62875000</v>
      </c>
      <c r="AE88" s="934"/>
      <c r="AF88" s="866">
        <v>0</v>
      </c>
      <c r="AG88" s="985">
        <f>+'Anexo 5.2-A. Gastos Rev'!CE84</f>
        <v>62875000</v>
      </c>
      <c r="AH88" s="837">
        <f t="shared" si="48"/>
        <v>1</v>
      </c>
      <c r="AI88" s="1003">
        <f>+'Anexo 5.2-A. Gastos Rev'!CF84</f>
        <v>43046500</v>
      </c>
      <c r="AJ88" s="1003">
        <f>+'Anexo 5.2-A. Gastos Rev'!CG84</f>
        <v>0</v>
      </c>
      <c r="AK88" s="1004">
        <f t="shared" si="50"/>
        <v>0.68463618290258454</v>
      </c>
      <c r="AL88" s="1003">
        <f t="shared" si="51"/>
        <v>19828500</v>
      </c>
      <c r="AM88" s="1003"/>
      <c r="AN88" s="935"/>
      <c r="AO88" s="843" t="e">
        <f t="shared" si="55"/>
        <v>#DIV/0!</v>
      </c>
      <c r="AP88" s="862"/>
      <c r="AQ88" s="866">
        <f t="shared" si="53"/>
        <v>62875000</v>
      </c>
      <c r="AR88" s="867" t="e">
        <f t="shared" si="56"/>
        <v>#DIV/0!</v>
      </c>
      <c r="AS88" s="936"/>
      <c r="AT88" s="494"/>
      <c r="AU88" s="493" t="s">
        <v>93</v>
      </c>
      <c r="AV88" s="846" t="s">
        <v>2394</v>
      </c>
      <c r="AW88" s="847"/>
      <c r="AX88" s="847"/>
      <c r="BB88" s="1037"/>
      <c r="BD88" s="1037"/>
    </row>
    <row r="89" spans="1:56" ht="51" x14ac:dyDescent="0.25">
      <c r="A89" s="827" t="s">
        <v>2395</v>
      </c>
      <c r="B89" s="893" t="s">
        <v>2396</v>
      </c>
      <c r="C89" s="828">
        <v>8</v>
      </c>
      <c r="D89" s="828">
        <v>8</v>
      </c>
      <c r="E89" s="828">
        <v>2</v>
      </c>
      <c r="F89" s="828"/>
      <c r="G89" s="828">
        <v>8</v>
      </c>
      <c r="H89" s="828">
        <v>8</v>
      </c>
      <c r="I89" s="828">
        <v>2</v>
      </c>
      <c r="J89" s="828"/>
      <c r="K89" s="838">
        <f t="shared" si="62"/>
        <v>1</v>
      </c>
      <c r="L89" s="830">
        <f t="shared" si="64"/>
        <v>1</v>
      </c>
      <c r="M89" s="830">
        <f>IF(I89/E89&gt;=100%,100%,I89/E89)</f>
        <v>1</v>
      </c>
      <c r="N89" s="1031" t="s">
        <v>2576</v>
      </c>
      <c r="O89" s="945"/>
      <c r="P89" s="831" t="s">
        <v>2525</v>
      </c>
      <c r="Q89" s="832" t="s">
        <v>2577</v>
      </c>
      <c r="R89" s="518"/>
      <c r="S89" s="945"/>
      <c r="T89" s="945"/>
      <c r="U89" s="945"/>
      <c r="V89" s="833"/>
      <c r="W89" s="945"/>
      <c r="X89" s="945">
        <v>18</v>
      </c>
      <c r="Y89" s="835">
        <f t="shared" si="63"/>
        <v>18</v>
      </c>
      <c r="Z89" s="836">
        <f t="shared" si="8"/>
        <v>1</v>
      </c>
      <c r="AA89" s="837">
        <v>0.05</v>
      </c>
      <c r="AB89" s="838">
        <v>0.05</v>
      </c>
      <c r="AC89" s="838">
        <v>0.15</v>
      </c>
      <c r="AD89" s="866">
        <f>+'Anexo 5.2-A. Gastos Rev'!CD85</f>
        <v>648396653.60000002</v>
      </c>
      <c r="AE89" s="934"/>
      <c r="AF89" s="866">
        <v>2516224800</v>
      </c>
      <c r="AG89" s="985">
        <f>+'Anexo 5.2-A. Gastos Rev'!CE85</f>
        <v>648396653.60000002</v>
      </c>
      <c r="AH89" s="837">
        <f t="shared" si="48"/>
        <v>1</v>
      </c>
      <c r="AI89" s="1003">
        <f>+'Anexo 5.2-A. Gastos Rev'!CF85</f>
        <v>648396653.60000002</v>
      </c>
      <c r="AJ89" s="1003">
        <f>+'Anexo 5.2-A. Gastos Rev'!CG85</f>
        <v>648396653.60000002</v>
      </c>
      <c r="AK89" s="1004">
        <f t="shared" si="50"/>
        <v>1</v>
      </c>
      <c r="AL89" s="1003">
        <f t="shared" si="51"/>
        <v>0</v>
      </c>
      <c r="AM89" s="1003"/>
      <c r="AN89" s="935"/>
      <c r="AO89" s="843" t="e">
        <f t="shared" si="55"/>
        <v>#DIV/0!</v>
      </c>
      <c r="AP89" s="862"/>
      <c r="AQ89" s="866">
        <f t="shared" si="53"/>
        <v>3164621453.5999999</v>
      </c>
      <c r="AR89" s="867" t="e">
        <f t="shared" si="56"/>
        <v>#DIV/0!</v>
      </c>
      <c r="AS89" s="936"/>
      <c r="AT89" s="494"/>
      <c r="AU89" s="493" t="s">
        <v>114</v>
      </c>
      <c r="AV89" s="846" t="s">
        <v>2397</v>
      </c>
      <c r="AW89" s="847"/>
      <c r="AX89" s="847"/>
      <c r="BB89" s="1037"/>
      <c r="BD89" s="1037"/>
    </row>
    <row r="90" spans="1:56" ht="51" x14ac:dyDescent="0.25">
      <c r="A90" s="827" t="s">
        <v>2398</v>
      </c>
      <c r="B90" s="893" t="s">
        <v>2399</v>
      </c>
      <c r="C90" s="828">
        <v>1</v>
      </c>
      <c r="D90" s="828">
        <v>1</v>
      </c>
      <c r="E90" s="828">
        <v>0</v>
      </c>
      <c r="F90" s="828"/>
      <c r="G90" s="828">
        <v>0</v>
      </c>
      <c r="H90" s="828">
        <v>0</v>
      </c>
      <c r="I90" s="828">
        <v>0</v>
      </c>
      <c r="J90" s="828"/>
      <c r="K90" s="838">
        <f t="shared" si="62"/>
        <v>0</v>
      </c>
      <c r="L90" s="830">
        <f t="shared" si="64"/>
        <v>0</v>
      </c>
      <c r="M90" s="830">
        <v>0</v>
      </c>
      <c r="N90" s="945"/>
      <c r="O90" s="945"/>
      <c r="P90" s="831"/>
      <c r="Q90" s="832"/>
      <c r="R90" s="518"/>
      <c r="S90" s="945"/>
      <c r="T90" s="945"/>
      <c r="U90" s="945"/>
      <c r="V90" s="833"/>
      <c r="W90" s="945"/>
      <c r="X90" s="945">
        <v>2</v>
      </c>
      <c r="Y90" s="835">
        <f t="shared" si="63"/>
        <v>0</v>
      </c>
      <c r="Z90" s="836">
        <f t="shared" si="8"/>
        <v>0</v>
      </c>
      <c r="AA90" s="837">
        <v>0.1</v>
      </c>
      <c r="AB90" s="838">
        <v>0.1</v>
      </c>
      <c r="AC90" s="838">
        <v>0</v>
      </c>
      <c r="AD90" s="866">
        <f>+'Anexo 5.2-A. Gastos Rev'!CD86</f>
        <v>0</v>
      </c>
      <c r="AE90" s="934"/>
      <c r="AF90" s="866">
        <v>0</v>
      </c>
      <c r="AG90" s="985">
        <f>+'Anexo 5.2-A. Gastos Rev'!CE86</f>
        <v>0</v>
      </c>
      <c r="AH90" s="837" t="e">
        <f t="shared" si="48"/>
        <v>#DIV/0!</v>
      </c>
      <c r="AI90" s="1003">
        <f>+'Anexo 5.2-A. Gastos Rev'!CF86</f>
        <v>0</v>
      </c>
      <c r="AJ90" s="1003">
        <f>+'Anexo 5.2-A. Gastos Rev'!CG86</f>
        <v>0</v>
      </c>
      <c r="AK90" s="1004" t="e">
        <f t="shared" si="50"/>
        <v>#DIV/0!</v>
      </c>
      <c r="AL90" s="1003">
        <f t="shared" si="51"/>
        <v>0</v>
      </c>
      <c r="AM90" s="1003"/>
      <c r="AN90" s="935"/>
      <c r="AO90" s="843" t="e">
        <f t="shared" si="55"/>
        <v>#DIV/0!</v>
      </c>
      <c r="AP90" s="862"/>
      <c r="AQ90" s="866">
        <f t="shared" si="53"/>
        <v>0</v>
      </c>
      <c r="AR90" s="867" t="e">
        <f t="shared" si="56"/>
        <v>#DIV/0!</v>
      </c>
      <c r="AS90" s="936"/>
      <c r="AT90" s="494"/>
      <c r="AU90" s="493" t="s">
        <v>95</v>
      </c>
      <c r="AV90" s="846" t="s">
        <v>2277</v>
      </c>
      <c r="AW90" s="847"/>
      <c r="AX90" s="847"/>
      <c r="BB90" s="1037"/>
      <c r="BD90" s="1037"/>
    </row>
    <row r="91" spans="1:56" ht="51" x14ac:dyDescent="0.25">
      <c r="A91" s="827" t="s">
        <v>2400</v>
      </c>
      <c r="B91" s="893" t="s">
        <v>2401</v>
      </c>
      <c r="C91" s="828">
        <v>1</v>
      </c>
      <c r="D91" s="828">
        <v>2</v>
      </c>
      <c r="E91" s="828">
        <v>1</v>
      </c>
      <c r="F91" s="828"/>
      <c r="G91" s="828">
        <v>1</v>
      </c>
      <c r="H91" s="828">
        <v>2</v>
      </c>
      <c r="I91" s="828">
        <v>1</v>
      </c>
      <c r="J91" s="828"/>
      <c r="K91" s="838">
        <f t="shared" si="62"/>
        <v>1</v>
      </c>
      <c r="L91" s="830">
        <f t="shared" si="64"/>
        <v>1</v>
      </c>
      <c r="M91" s="830">
        <f>IF(I91/E91&gt;=100%,100%,I91/E91)</f>
        <v>1</v>
      </c>
      <c r="N91" s="945"/>
      <c r="O91" s="945"/>
      <c r="P91" s="831"/>
      <c r="Q91" s="832"/>
      <c r="R91" s="518"/>
      <c r="S91" s="945"/>
      <c r="T91" s="945"/>
      <c r="U91" s="945"/>
      <c r="V91" s="833"/>
      <c r="W91" s="945"/>
      <c r="X91" s="945">
        <v>5</v>
      </c>
      <c r="Y91" s="835">
        <f t="shared" si="63"/>
        <v>4</v>
      </c>
      <c r="Z91" s="836">
        <f t="shared" si="8"/>
        <v>0.8</v>
      </c>
      <c r="AA91" s="837">
        <v>0.1</v>
      </c>
      <c r="AB91" s="838">
        <v>0.1</v>
      </c>
      <c r="AC91" s="838">
        <v>0.1</v>
      </c>
      <c r="AD91" s="866">
        <f>+'Anexo 5.2-A. Gastos Rev'!CD87</f>
        <v>0</v>
      </c>
      <c r="AE91" s="934"/>
      <c r="AF91" s="866">
        <v>1975025159.1300001</v>
      </c>
      <c r="AG91" s="985">
        <f>+'Anexo 5.2-A. Gastos Rev'!CE87</f>
        <v>0</v>
      </c>
      <c r="AH91" s="837" t="e">
        <f t="shared" si="48"/>
        <v>#DIV/0!</v>
      </c>
      <c r="AI91" s="1003">
        <f>+'Anexo 5.2-A. Gastos Rev'!CF87</f>
        <v>0</v>
      </c>
      <c r="AJ91" s="1003">
        <f>+'Anexo 5.2-A. Gastos Rev'!CG87</f>
        <v>0</v>
      </c>
      <c r="AK91" s="1004" t="e">
        <f t="shared" si="50"/>
        <v>#DIV/0!</v>
      </c>
      <c r="AL91" s="1003">
        <f t="shared" si="51"/>
        <v>0</v>
      </c>
      <c r="AM91" s="1003"/>
      <c r="AN91" s="935"/>
      <c r="AO91" s="843" t="e">
        <f t="shared" si="55"/>
        <v>#DIV/0!</v>
      </c>
      <c r="AP91" s="862"/>
      <c r="AQ91" s="866">
        <f t="shared" si="53"/>
        <v>1975025159.1300001</v>
      </c>
      <c r="AR91" s="867" t="e">
        <f t="shared" si="56"/>
        <v>#DIV/0!</v>
      </c>
      <c r="AS91" s="936"/>
      <c r="AT91" s="494"/>
      <c r="AU91" s="493" t="s">
        <v>91</v>
      </c>
      <c r="AV91" s="846" t="s">
        <v>2402</v>
      </c>
      <c r="AW91" s="847"/>
      <c r="AX91" s="847"/>
      <c r="BB91" s="1037"/>
      <c r="BD91" s="1037"/>
    </row>
    <row r="92" spans="1:56" ht="107.25" customHeight="1" x14ac:dyDescent="0.25">
      <c r="A92" s="827" t="s">
        <v>2403</v>
      </c>
      <c r="B92" s="893" t="s">
        <v>2388</v>
      </c>
      <c r="C92" s="828">
        <v>4</v>
      </c>
      <c r="D92" s="828">
        <v>1</v>
      </c>
      <c r="E92" s="828">
        <v>1</v>
      </c>
      <c r="F92" s="828"/>
      <c r="G92" s="828">
        <v>0</v>
      </c>
      <c r="H92" s="828">
        <v>1</v>
      </c>
      <c r="I92" s="828">
        <v>1</v>
      </c>
      <c r="J92" s="828"/>
      <c r="K92" s="838">
        <f t="shared" si="62"/>
        <v>0</v>
      </c>
      <c r="L92" s="830">
        <f t="shared" si="64"/>
        <v>1</v>
      </c>
      <c r="M92" s="830">
        <f>IF(I92/E92&gt;=100%,100%,I92/E92)</f>
        <v>1</v>
      </c>
      <c r="N92" s="945" t="s">
        <v>2578</v>
      </c>
      <c r="O92" s="945"/>
      <c r="P92" s="831"/>
      <c r="Q92" s="832"/>
      <c r="R92" s="518"/>
      <c r="S92" s="945"/>
      <c r="T92" s="945"/>
      <c r="U92" s="945"/>
      <c r="V92" s="833"/>
      <c r="W92" s="945"/>
      <c r="X92" s="945">
        <v>17</v>
      </c>
      <c r="Y92" s="835">
        <f t="shared" si="63"/>
        <v>2</v>
      </c>
      <c r="Z92" s="836">
        <f t="shared" si="8"/>
        <v>0.11764705882352941</v>
      </c>
      <c r="AA92" s="837">
        <v>0.1</v>
      </c>
      <c r="AB92" s="838">
        <v>0.1</v>
      </c>
      <c r="AC92" s="838">
        <v>0.1</v>
      </c>
      <c r="AD92" s="866">
        <f>+'Anexo 5.2-A. Gastos Rev'!CD88</f>
        <v>500000000</v>
      </c>
      <c r="AE92" s="934"/>
      <c r="AF92" s="866">
        <v>0</v>
      </c>
      <c r="AG92" s="985">
        <f>+'Anexo 5.2-A. Gastos Rev'!CE88</f>
        <v>500000000</v>
      </c>
      <c r="AH92" s="837">
        <f t="shared" si="48"/>
        <v>1</v>
      </c>
      <c r="AI92" s="1003">
        <f>+'Anexo 5.2-A. Gastos Rev'!CF88</f>
        <v>0</v>
      </c>
      <c r="AJ92" s="1003">
        <f>+'Anexo 5.2-A. Gastos Rev'!CG88</f>
        <v>0</v>
      </c>
      <c r="AK92" s="1004">
        <f t="shared" si="50"/>
        <v>0</v>
      </c>
      <c r="AL92" s="1003">
        <f t="shared" si="51"/>
        <v>500000000</v>
      </c>
      <c r="AM92" s="1003"/>
      <c r="AN92" s="935"/>
      <c r="AO92" s="843" t="e">
        <f t="shared" si="55"/>
        <v>#DIV/0!</v>
      </c>
      <c r="AP92" s="862"/>
      <c r="AQ92" s="866">
        <f t="shared" si="53"/>
        <v>500000000</v>
      </c>
      <c r="AR92" s="867" t="e">
        <f t="shared" si="56"/>
        <v>#DIV/0!</v>
      </c>
      <c r="AS92" s="936"/>
      <c r="AT92" s="494"/>
      <c r="AU92" s="493" t="s">
        <v>89</v>
      </c>
      <c r="AV92" s="846" t="s">
        <v>2389</v>
      </c>
      <c r="AW92" s="847"/>
      <c r="AX92" s="847"/>
      <c r="BB92" s="1037"/>
      <c r="BD92" s="1037"/>
    </row>
    <row r="93" spans="1:56" ht="38.25" x14ac:dyDescent="0.25">
      <c r="A93" s="786" t="s">
        <v>2237</v>
      </c>
      <c r="B93" s="787"/>
      <c r="C93" s="788"/>
      <c r="D93" s="788"/>
      <c r="E93" s="788"/>
      <c r="F93" s="788"/>
      <c r="G93" s="788"/>
      <c r="H93" s="788"/>
      <c r="I93" s="788"/>
      <c r="J93" s="788"/>
      <c r="K93" s="795">
        <f>+(K94*AA94)</f>
        <v>0.2</v>
      </c>
      <c r="L93" s="795">
        <f>+(L94*AB94)</f>
        <v>0.53500000000000003</v>
      </c>
      <c r="M93" s="795">
        <f>+(M94*AC94)</f>
        <v>1</v>
      </c>
      <c r="N93" s="943"/>
      <c r="O93" s="943"/>
      <c r="P93" s="790"/>
      <c r="Q93" s="791"/>
      <c r="R93" s="791"/>
      <c r="S93" s="943"/>
      <c r="T93" s="943"/>
      <c r="U93" s="943"/>
      <c r="V93" s="914"/>
      <c r="W93" s="943"/>
      <c r="X93" s="943"/>
      <c r="Y93" s="791"/>
      <c r="Z93" s="793">
        <f>+(Z94*AA94)</f>
        <v>0.42625000000000002</v>
      </c>
      <c r="AA93" s="794">
        <v>0.4</v>
      </c>
      <c r="AB93" s="795">
        <v>0.4</v>
      </c>
      <c r="AC93" s="795">
        <v>0.4</v>
      </c>
      <c r="AD93" s="915">
        <f>+'Anexo 5.2-A. Gastos Rev'!CD89</f>
        <v>500000000</v>
      </c>
      <c r="AE93" s="931">
        <f>+AE94</f>
        <v>0</v>
      </c>
      <c r="AF93" s="915">
        <f>+AF94</f>
        <v>0</v>
      </c>
      <c r="AG93" s="916">
        <f>+'Anexo 5.2-A. Gastos Rev'!CE89</f>
        <v>499992000</v>
      </c>
      <c r="AH93" s="794">
        <f t="shared" si="48"/>
        <v>0.99998399999999998</v>
      </c>
      <c r="AI93" s="915">
        <f>+'Anexo 5.2-A. Gastos Rev'!CF89</f>
        <v>499992000</v>
      </c>
      <c r="AJ93" s="915">
        <f>+'Anexo 5.2-A. Gastos Rev'!CG89</f>
        <v>499992000</v>
      </c>
      <c r="AK93" s="992">
        <f t="shared" si="50"/>
        <v>1</v>
      </c>
      <c r="AL93" s="915">
        <f t="shared" si="51"/>
        <v>0</v>
      </c>
      <c r="AM93" s="915">
        <f t="shared" ref="AM93:AN93" si="65">+AM94</f>
        <v>0</v>
      </c>
      <c r="AN93" s="915">
        <f t="shared" si="65"/>
        <v>0</v>
      </c>
      <c r="AO93" s="799" t="e">
        <f t="shared" si="55"/>
        <v>#DIV/0!</v>
      </c>
      <c r="AP93" s="916">
        <f>+AP94+AP107</f>
        <v>2200000000</v>
      </c>
      <c r="AQ93" s="917">
        <f t="shared" si="53"/>
        <v>499992000</v>
      </c>
      <c r="AR93" s="918">
        <f t="shared" si="56"/>
        <v>0.22726909090909092</v>
      </c>
      <c r="AS93" s="919"/>
      <c r="AT93" s="802" t="s">
        <v>2497</v>
      </c>
      <c r="AU93" s="803"/>
      <c r="AV93" s="804"/>
      <c r="AW93" s="805"/>
      <c r="AX93" s="805"/>
      <c r="BB93" s="1037"/>
      <c r="BD93" s="1037"/>
    </row>
    <row r="94" spans="1:56" ht="38.25" x14ac:dyDescent="0.25">
      <c r="A94" s="806" t="s">
        <v>2171</v>
      </c>
      <c r="B94" s="807"/>
      <c r="C94" s="808"/>
      <c r="D94" s="808"/>
      <c r="E94" s="808"/>
      <c r="F94" s="808"/>
      <c r="G94" s="808"/>
      <c r="H94" s="808"/>
      <c r="I94" s="808"/>
      <c r="J94" s="808"/>
      <c r="K94" s="809">
        <f>+(K95*AA95)+(K96*AA96)+(K97*AA97)+(K98*AA98)+(K99*AA99)</f>
        <v>0.2</v>
      </c>
      <c r="L94" s="810">
        <f>+(L95*AB95)+(L96*AB96)+(L97*AB97)+(L98*AB98)+(L99*AB99)</f>
        <v>0.53500000000000003</v>
      </c>
      <c r="M94" s="810">
        <f>+(M95*AC95)+(M96*AC96)+(M97*AC97)+(M98*AC98)+(M99*AC99)</f>
        <v>1</v>
      </c>
      <c r="N94" s="944"/>
      <c r="O94" s="944"/>
      <c r="P94" s="811"/>
      <c r="Q94" s="812"/>
      <c r="R94" s="812"/>
      <c r="S94" s="944"/>
      <c r="T94" s="944"/>
      <c r="U94" s="944"/>
      <c r="V94" s="855"/>
      <c r="W94" s="944"/>
      <c r="X94" s="944"/>
      <c r="Y94" s="812"/>
      <c r="Z94" s="814">
        <f>+(Z95*AA95)+(Z96*AA96)+(Z97*AA97)+(Z98*AA98)+(Z99*AA99)</f>
        <v>0.42625000000000002</v>
      </c>
      <c r="AA94" s="815">
        <v>1</v>
      </c>
      <c r="AB94" s="809">
        <v>1</v>
      </c>
      <c r="AC94" s="809">
        <v>1</v>
      </c>
      <c r="AD94" s="856">
        <f>+'Anexo 5.2-A. Gastos Rev'!CD90</f>
        <v>500000000</v>
      </c>
      <c r="AE94" s="946">
        <v>0</v>
      </c>
      <c r="AF94" s="856">
        <f t="shared" ref="AF94" si="66">+SUM(AF95:AF99)</f>
        <v>0</v>
      </c>
      <c r="AG94" s="858">
        <f>+'Anexo 5.2-A. Gastos Rev'!CE90</f>
        <v>499992000</v>
      </c>
      <c r="AH94" s="815">
        <f t="shared" si="48"/>
        <v>0.99998399999999998</v>
      </c>
      <c r="AI94" s="856">
        <f>+'Anexo 5.2-A. Gastos Rev'!CF90</f>
        <v>499992000</v>
      </c>
      <c r="AJ94" s="856">
        <f>+'Anexo 5.2-A. Gastos Rev'!CG90</f>
        <v>499992000</v>
      </c>
      <c r="AK94" s="993">
        <f t="shared" si="50"/>
        <v>1</v>
      </c>
      <c r="AL94" s="856">
        <f t="shared" si="51"/>
        <v>0</v>
      </c>
      <c r="AM94" s="856">
        <f t="shared" ref="AM94:AN94" si="67">+SUM(AM95:AM99)</f>
        <v>0</v>
      </c>
      <c r="AN94" s="856">
        <f t="shared" si="67"/>
        <v>0</v>
      </c>
      <c r="AO94" s="820" t="e">
        <f t="shared" si="55"/>
        <v>#DIV/0!</v>
      </c>
      <c r="AP94" s="858">
        <v>2200000000</v>
      </c>
      <c r="AQ94" s="860">
        <f t="shared" si="53"/>
        <v>499992000</v>
      </c>
      <c r="AR94" s="881">
        <f t="shared" si="56"/>
        <v>0.22726909090909092</v>
      </c>
      <c r="AS94" s="861"/>
      <c r="AT94" s="823"/>
      <c r="AU94" s="824"/>
      <c r="AV94" s="825"/>
      <c r="AW94" s="826"/>
      <c r="AX94" s="826"/>
      <c r="BB94" s="1037"/>
      <c r="BD94" s="1037"/>
    </row>
    <row r="95" spans="1:56" ht="106.5" customHeight="1" x14ac:dyDescent="0.25">
      <c r="A95" s="827" t="s">
        <v>2404</v>
      </c>
      <c r="B95" s="893" t="s">
        <v>2405</v>
      </c>
      <c r="C95" s="828">
        <v>1</v>
      </c>
      <c r="D95" s="828">
        <v>2</v>
      </c>
      <c r="E95" s="828">
        <v>1</v>
      </c>
      <c r="F95" s="828"/>
      <c r="G95" s="828">
        <v>0</v>
      </c>
      <c r="H95" s="828">
        <v>0</v>
      </c>
      <c r="I95" s="828">
        <v>1</v>
      </c>
      <c r="J95" s="828"/>
      <c r="K95" s="838">
        <f>IF((G95+J95)/C95&gt;=100%,100%,(G95+J95)/C95)</f>
        <v>0</v>
      </c>
      <c r="L95" s="830">
        <f t="shared" ref="L95:M99" si="68">IF(H95/D95&gt;=100%,100%,H95/D95)</f>
        <v>0</v>
      </c>
      <c r="M95" s="830">
        <f t="shared" si="68"/>
        <v>1</v>
      </c>
      <c r="N95" s="945" t="s">
        <v>2579</v>
      </c>
      <c r="O95" s="945"/>
      <c r="P95" s="832" t="s">
        <v>75</v>
      </c>
      <c r="Q95" s="832"/>
      <c r="R95" s="832" t="s">
        <v>2521</v>
      </c>
      <c r="S95" s="945" t="s">
        <v>2580</v>
      </c>
      <c r="T95" s="945"/>
      <c r="U95" s="945"/>
      <c r="V95" s="833"/>
      <c r="W95" s="945"/>
      <c r="X95" s="945">
        <v>5</v>
      </c>
      <c r="Y95" s="835">
        <f>SUM(G95:I95)</f>
        <v>1</v>
      </c>
      <c r="Z95" s="836">
        <f t="shared" ref="Z95:Z99" si="69">IF(Y95/X95&gt;=100%,100%,Y95/X95)</f>
        <v>0.2</v>
      </c>
      <c r="AA95" s="837">
        <v>0.15</v>
      </c>
      <c r="AB95" s="838">
        <v>0.15</v>
      </c>
      <c r="AC95" s="838">
        <v>0.15</v>
      </c>
      <c r="AD95" s="866">
        <f>+'Anexo 5.2-A. Gastos Rev'!CD91</f>
        <v>100000000</v>
      </c>
      <c r="AE95" s="934"/>
      <c r="AF95" s="862">
        <v>0</v>
      </c>
      <c r="AG95" s="864">
        <f>+'Anexo 5.2-A. Gastos Rev'!CE91</f>
        <v>100000000</v>
      </c>
      <c r="AH95" s="837">
        <f t="shared" si="48"/>
        <v>1</v>
      </c>
      <c r="AI95" s="1003">
        <f>+'Anexo 5.2-A. Gastos Rev'!CF91</f>
        <v>100000000</v>
      </c>
      <c r="AJ95" s="1003">
        <f>+'Anexo 5.2-A. Gastos Rev'!CG91</f>
        <v>100000000</v>
      </c>
      <c r="AK95" s="1004">
        <f t="shared" si="50"/>
        <v>1</v>
      </c>
      <c r="AL95" s="1003">
        <f t="shared" si="51"/>
        <v>0</v>
      </c>
      <c r="AM95" s="1003"/>
      <c r="AN95" s="1003"/>
      <c r="AO95" s="843" t="e">
        <f t="shared" si="55"/>
        <v>#DIV/0!</v>
      </c>
      <c r="AP95" s="862"/>
      <c r="AQ95" s="866">
        <f t="shared" si="53"/>
        <v>100000000</v>
      </c>
      <c r="AR95" s="867" t="e">
        <f t="shared" si="56"/>
        <v>#DIV/0!</v>
      </c>
      <c r="AS95" s="936"/>
      <c r="AT95" s="494"/>
      <c r="AU95" s="493" t="s">
        <v>108</v>
      </c>
      <c r="AV95" s="846" t="s">
        <v>2406</v>
      </c>
      <c r="AW95" s="847"/>
      <c r="AX95" s="847"/>
      <c r="BB95" s="1037"/>
      <c r="BD95" s="1037"/>
    </row>
    <row r="96" spans="1:56" ht="88.5" customHeight="1" x14ac:dyDescent="0.25">
      <c r="A96" s="827" t="s">
        <v>2407</v>
      </c>
      <c r="B96" s="893" t="s">
        <v>2408</v>
      </c>
      <c r="C96" s="828">
        <v>1</v>
      </c>
      <c r="D96" s="828">
        <v>1</v>
      </c>
      <c r="E96" s="828">
        <v>1</v>
      </c>
      <c r="F96" s="828"/>
      <c r="G96" s="828">
        <v>0</v>
      </c>
      <c r="H96" s="828">
        <v>1</v>
      </c>
      <c r="I96" s="828">
        <v>1</v>
      </c>
      <c r="J96" s="828"/>
      <c r="K96" s="838">
        <f>IF((G96+J96)/C96&gt;=100%,100%,(G96+J96)/C96)</f>
        <v>0</v>
      </c>
      <c r="L96" s="830">
        <f t="shared" si="68"/>
        <v>1</v>
      </c>
      <c r="M96" s="830">
        <f t="shared" si="68"/>
        <v>1</v>
      </c>
      <c r="N96" s="945" t="s">
        <v>2579</v>
      </c>
      <c r="O96" s="945"/>
      <c r="P96" s="832" t="s">
        <v>75</v>
      </c>
      <c r="Q96" s="832"/>
      <c r="R96" s="832" t="s">
        <v>2521</v>
      </c>
      <c r="S96" s="945" t="s">
        <v>2580</v>
      </c>
      <c r="T96" s="945"/>
      <c r="U96" s="945"/>
      <c r="V96" s="833"/>
      <c r="W96" s="945"/>
      <c r="X96" s="945">
        <v>4</v>
      </c>
      <c r="Y96" s="835">
        <f>SUM(G96:I96)</f>
        <v>2</v>
      </c>
      <c r="Z96" s="836">
        <f t="shared" si="69"/>
        <v>0.5</v>
      </c>
      <c r="AA96" s="837">
        <v>0.25</v>
      </c>
      <c r="AB96" s="838">
        <v>0.25</v>
      </c>
      <c r="AC96" s="838">
        <v>0.25</v>
      </c>
      <c r="AD96" s="866">
        <f>+'Anexo 5.2-A. Gastos Rev'!CD92</f>
        <v>100000000</v>
      </c>
      <c r="AE96" s="934"/>
      <c r="AF96" s="862">
        <v>0</v>
      </c>
      <c r="AG96" s="864">
        <f>+'Anexo 5.2-A. Gastos Rev'!CE92</f>
        <v>100000000</v>
      </c>
      <c r="AH96" s="837">
        <f t="shared" si="48"/>
        <v>1</v>
      </c>
      <c r="AI96" s="1003">
        <f>+'Anexo 5.2-A. Gastos Rev'!CF92</f>
        <v>100000000</v>
      </c>
      <c r="AJ96" s="1003">
        <f>+'Anexo 5.2-A. Gastos Rev'!CG92</f>
        <v>100000000</v>
      </c>
      <c r="AK96" s="1004">
        <f t="shared" si="50"/>
        <v>1</v>
      </c>
      <c r="AL96" s="1003">
        <f t="shared" si="51"/>
        <v>0</v>
      </c>
      <c r="AM96" s="1003"/>
      <c r="AN96" s="1003"/>
      <c r="AO96" s="843" t="e">
        <f t="shared" si="55"/>
        <v>#DIV/0!</v>
      </c>
      <c r="AP96" s="862"/>
      <c r="AQ96" s="866">
        <f t="shared" si="53"/>
        <v>100000000</v>
      </c>
      <c r="AR96" s="867" t="e">
        <f t="shared" si="56"/>
        <v>#DIV/0!</v>
      </c>
      <c r="AS96" s="936"/>
      <c r="AT96" s="494"/>
      <c r="AU96" s="493" t="s">
        <v>108</v>
      </c>
      <c r="AV96" s="846" t="s">
        <v>2360</v>
      </c>
      <c r="AW96" s="847"/>
      <c r="AX96" s="847"/>
      <c r="BB96" s="1037"/>
      <c r="BD96" s="1037"/>
    </row>
    <row r="97" spans="1:56" ht="87" customHeight="1" x14ac:dyDescent="0.25">
      <c r="A97" s="827" t="s">
        <v>2409</v>
      </c>
      <c r="B97" s="893" t="s">
        <v>2359</v>
      </c>
      <c r="C97" s="828">
        <v>1</v>
      </c>
      <c r="D97" s="828">
        <v>1</v>
      </c>
      <c r="E97" s="828">
        <v>1</v>
      </c>
      <c r="F97" s="828"/>
      <c r="G97" s="828">
        <v>0</v>
      </c>
      <c r="H97" s="828">
        <v>1</v>
      </c>
      <c r="I97" s="828">
        <v>1</v>
      </c>
      <c r="J97" s="828"/>
      <c r="K97" s="838">
        <f>IF((G97+J97)/C97&gt;=100%,100%,(G97+J97)/C97)</f>
        <v>0</v>
      </c>
      <c r="L97" s="830">
        <f t="shared" si="68"/>
        <v>1</v>
      </c>
      <c r="M97" s="830">
        <f t="shared" si="68"/>
        <v>1</v>
      </c>
      <c r="N97" s="945" t="s">
        <v>2579</v>
      </c>
      <c r="O97" s="945"/>
      <c r="P97" s="832" t="s">
        <v>75</v>
      </c>
      <c r="Q97" s="832"/>
      <c r="R97" s="832" t="s">
        <v>2521</v>
      </c>
      <c r="S97" s="945" t="s">
        <v>2580</v>
      </c>
      <c r="T97" s="945"/>
      <c r="U97" s="945"/>
      <c r="V97" s="833"/>
      <c r="W97" s="945"/>
      <c r="X97" s="945">
        <v>4</v>
      </c>
      <c r="Y97" s="835">
        <f>SUM(G97:I97)</f>
        <v>2</v>
      </c>
      <c r="Z97" s="836">
        <f t="shared" si="69"/>
        <v>0.5</v>
      </c>
      <c r="AA97" s="837">
        <v>0.25</v>
      </c>
      <c r="AB97" s="838">
        <v>0.25</v>
      </c>
      <c r="AC97" s="838">
        <v>0.25</v>
      </c>
      <c r="AD97" s="866">
        <f>+'Anexo 5.2-A. Gastos Rev'!CD93</f>
        <v>100000000</v>
      </c>
      <c r="AE97" s="934"/>
      <c r="AF97" s="862">
        <v>0</v>
      </c>
      <c r="AG97" s="864">
        <f>+'Anexo 5.2-A. Gastos Rev'!CE93</f>
        <v>100000000</v>
      </c>
      <c r="AH97" s="837">
        <f t="shared" si="48"/>
        <v>1</v>
      </c>
      <c r="AI97" s="1003">
        <f>+'Anexo 5.2-A. Gastos Rev'!CF93</f>
        <v>100000000</v>
      </c>
      <c r="AJ97" s="1003">
        <f>+'Anexo 5.2-A. Gastos Rev'!CG93</f>
        <v>100000000</v>
      </c>
      <c r="AK97" s="1004">
        <f t="shared" si="50"/>
        <v>1</v>
      </c>
      <c r="AL97" s="1003">
        <f t="shared" si="51"/>
        <v>0</v>
      </c>
      <c r="AM97" s="1003"/>
      <c r="AN97" s="1003"/>
      <c r="AO97" s="843" t="e">
        <f t="shared" si="55"/>
        <v>#DIV/0!</v>
      </c>
      <c r="AP97" s="862"/>
      <c r="AQ97" s="866">
        <f t="shared" si="53"/>
        <v>100000000</v>
      </c>
      <c r="AR97" s="867" t="e">
        <f t="shared" si="56"/>
        <v>#DIV/0!</v>
      </c>
      <c r="AS97" s="936"/>
      <c r="AT97" s="494"/>
      <c r="AU97" s="493" t="s">
        <v>108</v>
      </c>
      <c r="AV97" s="846" t="s">
        <v>2277</v>
      </c>
      <c r="AW97" s="847"/>
      <c r="AX97" s="847"/>
      <c r="BB97" s="1037"/>
      <c r="BD97" s="1037"/>
    </row>
    <row r="98" spans="1:56" ht="89.25" customHeight="1" x14ac:dyDescent="0.25">
      <c r="A98" s="827" t="s">
        <v>2410</v>
      </c>
      <c r="B98" s="893" t="s">
        <v>2411</v>
      </c>
      <c r="C98" s="828">
        <v>1</v>
      </c>
      <c r="D98" s="828">
        <v>1</v>
      </c>
      <c r="E98" s="828">
        <v>1</v>
      </c>
      <c r="F98" s="828"/>
      <c r="G98" s="828">
        <v>0</v>
      </c>
      <c r="H98" s="828">
        <v>0.1</v>
      </c>
      <c r="I98" s="828">
        <v>1</v>
      </c>
      <c r="J98" s="828"/>
      <c r="K98" s="838">
        <f>IF((G98+J98)/C98&gt;=100%,100%,(G98+J98)/C98)</f>
        <v>0</v>
      </c>
      <c r="L98" s="830">
        <f t="shared" si="68"/>
        <v>0.1</v>
      </c>
      <c r="M98" s="830">
        <f t="shared" si="68"/>
        <v>1</v>
      </c>
      <c r="N98" s="945" t="s">
        <v>2579</v>
      </c>
      <c r="O98" s="945"/>
      <c r="P98" s="832" t="s">
        <v>75</v>
      </c>
      <c r="Q98" s="832"/>
      <c r="R98" s="832" t="s">
        <v>2521</v>
      </c>
      <c r="S98" s="945" t="s">
        <v>2580</v>
      </c>
      <c r="T98" s="945"/>
      <c r="U98" s="945"/>
      <c r="V98" s="833"/>
      <c r="W98" s="945"/>
      <c r="X98" s="945">
        <v>4</v>
      </c>
      <c r="Y98" s="835">
        <f>SUM(G98:I98)</f>
        <v>1.1000000000000001</v>
      </c>
      <c r="Z98" s="836">
        <f t="shared" si="69"/>
        <v>0.27500000000000002</v>
      </c>
      <c r="AA98" s="837">
        <v>0.15</v>
      </c>
      <c r="AB98" s="838">
        <v>0.15</v>
      </c>
      <c r="AC98" s="838">
        <v>0.15</v>
      </c>
      <c r="AD98" s="866">
        <f>+'Anexo 5.2-A. Gastos Rev'!CD94</f>
        <v>100000000</v>
      </c>
      <c r="AE98" s="934"/>
      <c r="AF98" s="862">
        <v>0</v>
      </c>
      <c r="AG98" s="864">
        <f>+'Anexo 5.2-A. Gastos Rev'!CE94</f>
        <v>100000000</v>
      </c>
      <c r="AH98" s="837">
        <f t="shared" si="48"/>
        <v>1</v>
      </c>
      <c r="AI98" s="1003">
        <f>+'Anexo 5.2-A. Gastos Rev'!CF94</f>
        <v>100000000</v>
      </c>
      <c r="AJ98" s="1003">
        <f>+'Anexo 5.2-A. Gastos Rev'!CG94</f>
        <v>100000000</v>
      </c>
      <c r="AK98" s="1004">
        <f t="shared" si="50"/>
        <v>1</v>
      </c>
      <c r="AL98" s="1003">
        <f t="shared" si="51"/>
        <v>0</v>
      </c>
      <c r="AM98" s="1003"/>
      <c r="AN98" s="1003"/>
      <c r="AO98" s="843" t="e">
        <f t="shared" si="55"/>
        <v>#DIV/0!</v>
      </c>
      <c r="AP98" s="862"/>
      <c r="AQ98" s="866">
        <f t="shared" si="53"/>
        <v>100000000</v>
      </c>
      <c r="AR98" s="867" t="e">
        <f t="shared" si="56"/>
        <v>#DIV/0!</v>
      </c>
      <c r="AS98" s="936"/>
      <c r="AT98" s="494"/>
      <c r="AU98" s="493" t="s">
        <v>108</v>
      </c>
      <c r="AV98" s="846" t="s">
        <v>2277</v>
      </c>
      <c r="AW98" s="847"/>
      <c r="AX98" s="847"/>
      <c r="BB98" s="1037"/>
      <c r="BD98" s="1037"/>
    </row>
    <row r="99" spans="1:56" ht="95.25" customHeight="1" thickBot="1" x14ac:dyDescent="0.3">
      <c r="A99" s="827" t="s">
        <v>2412</v>
      </c>
      <c r="B99" s="893" t="s">
        <v>2411</v>
      </c>
      <c r="C99" s="828">
        <v>1</v>
      </c>
      <c r="D99" s="828">
        <v>1</v>
      </c>
      <c r="E99" s="828">
        <v>1</v>
      </c>
      <c r="F99" s="828"/>
      <c r="G99" s="828">
        <v>1</v>
      </c>
      <c r="H99" s="828">
        <v>0.1</v>
      </c>
      <c r="I99" s="828">
        <v>1</v>
      </c>
      <c r="J99" s="828"/>
      <c r="K99" s="838">
        <f>IF((G99+J99)/C99&gt;=100%,100%,(G99+J99)/C99)</f>
        <v>1</v>
      </c>
      <c r="L99" s="830">
        <f t="shared" si="68"/>
        <v>0.1</v>
      </c>
      <c r="M99" s="830">
        <f t="shared" si="68"/>
        <v>1</v>
      </c>
      <c r="N99" s="945" t="s">
        <v>2575</v>
      </c>
      <c r="O99" s="945"/>
      <c r="P99" s="832" t="s">
        <v>75</v>
      </c>
      <c r="Q99" s="832"/>
      <c r="R99" s="832" t="s">
        <v>2521</v>
      </c>
      <c r="S99" s="945" t="s">
        <v>2580</v>
      </c>
      <c r="T99" s="945"/>
      <c r="U99" s="945"/>
      <c r="V99" s="833"/>
      <c r="W99" s="945"/>
      <c r="X99" s="945">
        <v>4</v>
      </c>
      <c r="Y99" s="835">
        <f>SUM(G99:I99)</f>
        <v>2.1</v>
      </c>
      <c r="Z99" s="836">
        <f t="shared" si="69"/>
        <v>0.52500000000000002</v>
      </c>
      <c r="AA99" s="837">
        <v>0.2</v>
      </c>
      <c r="AB99" s="838">
        <v>0.2</v>
      </c>
      <c r="AC99" s="838">
        <v>0.2</v>
      </c>
      <c r="AD99" s="866">
        <f>+'Anexo 5.2-A. Gastos Rev'!CD95</f>
        <v>100000000</v>
      </c>
      <c r="AE99" s="934"/>
      <c r="AF99" s="862">
        <v>0</v>
      </c>
      <c r="AG99" s="864">
        <f>+'Anexo 5.2-A. Gastos Rev'!CE95</f>
        <v>99992000</v>
      </c>
      <c r="AH99" s="837">
        <f t="shared" si="48"/>
        <v>0.99992000000000003</v>
      </c>
      <c r="AI99" s="1003">
        <f>+'Anexo 5.2-A. Gastos Rev'!CF95</f>
        <v>99992000</v>
      </c>
      <c r="AJ99" s="1003">
        <f>+'Anexo 5.2-A. Gastos Rev'!CG95</f>
        <v>99992000</v>
      </c>
      <c r="AK99" s="1004">
        <f t="shared" si="50"/>
        <v>1</v>
      </c>
      <c r="AL99" s="1003">
        <f t="shared" si="51"/>
        <v>0</v>
      </c>
      <c r="AM99" s="1003"/>
      <c r="AN99" s="1003"/>
      <c r="AO99" s="843" t="e">
        <f t="shared" si="55"/>
        <v>#DIV/0!</v>
      </c>
      <c r="AP99" s="864"/>
      <c r="AQ99" s="866">
        <f t="shared" si="53"/>
        <v>99992000</v>
      </c>
      <c r="AR99" s="867" t="e">
        <f t="shared" si="56"/>
        <v>#DIV/0!</v>
      </c>
      <c r="AS99" s="868"/>
      <c r="AT99" s="494"/>
      <c r="AU99" s="493" t="s">
        <v>108</v>
      </c>
      <c r="AV99" s="846" t="s">
        <v>2277</v>
      </c>
      <c r="AW99" s="847"/>
      <c r="AX99" s="847"/>
      <c r="BB99" s="1037"/>
      <c r="BD99" s="1037"/>
    </row>
    <row r="100" spans="1:56" x14ac:dyDescent="0.25">
      <c r="A100" s="928" t="s">
        <v>2172</v>
      </c>
      <c r="B100" s="895"/>
      <c r="C100" s="896"/>
      <c r="D100" s="896"/>
      <c r="E100" s="896"/>
      <c r="F100" s="896"/>
      <c r="G100" s="896"/>
      <c r="H100" s="896"/>
      <c r="I100" s="896"/>
      <c r="J100" s="896"/>
      <c r="K100" s="902">
        <f>+(K101*AA101)+(K123*AA123)+(K128*AA128)+(K137*AA137)+(K153*AA153)</f>
        <v>0.83620000000000005</v>
      </c>
      <c r="L100" s="902">
        <f>+(L101*AB101)+(L123*AB123)+(L128*AB128)+(L137*AB137)+(L153*AB153)</f>
        <v>0.98199999999999998</v>
      </c>
      <c r="M100" s="902">
        <f>+(M101*AC101)+(M123*AC123)+(M128*AC128)+(M137*AC137)+(M153*AC153)</f>
        <v>0.96139000000000008</v>
      </c>
      <c r="N100" s="940"/>
      <c r="O100" s="940"/>
      <c r="P100" s="770"/>
      <c r="Q100" s="771"/>
      <c r="R100" s="771"/>
      <c r="S100" s="940"/>
      <c r="T100" s="940"/>
      <c r="U100" s="940"/>
      <c r="V100" s="929"/>
      <c r="W100" s="940"/>
      <c r="X100" s="940"/>
      <c r="Y100" s="899"/>
      <c r="Z100" s="900">
        <f>+(Z101*AA101)+(Z123*AA123)</f>
        <v>0.69991181713083561</v>
      </c>
      <c r="AA100" s="901">
        <v>0.2</v>
      </c>
      <c r="AB100" s="902">
        <v>0.2</v>
      </c>
      <c r="AC100" s="902">
        <v>0.2</v>
      </c>
      <c r="AD100" s="941">
        <f>+'Anexo 5.2-A. Gastos Rev'!CD96</f>
        <v>13062327858.959991</v>
      </c>
      <c r="AE100" s="942">
        <f t="shared" ref="AE100" si="70">+AE101+AE123</f>
        <v>718452360</v>
      </c>
      <c r="AF100" s="941">
        <f>+AF101+AF123+AF128+AF137+AF153</f>
        <v>12663302278.949999</v>
      </c>
      <c r="AG100" s="1030">
        <f>+'Anexo 5.2-A. Gastos Rev'!CE96</f>
        <v>13007212622.990002</v>
      </c>
      <c r="AH100" s="901">
        <f t="shared" si="48"/>
        <v>0.99578059618736459</v>
      </c>
      <c r="AI100" s="941">
        <f>+'Anexo 5.2-A. Gastos Rev'!CF96</f>
        <v>10915180884</v>
      </c>
      <c r="AJ100" s="941">
        <f>+'Anexo 5.2-A. Gastos Rev'!CG96</f>
        <v>9207854757</v>
      </c>
      <c r="AK100" s="977">
        <f t="shared" si="50"/>
        <v>0.83916371634516262</v>
      </c>
      <c r="AL100" s="941">
        <f t="shared" si="51"/>
        <v>2092031738.9900017</v>
      </c>
      <c r="AM100" s="941">
        <f t="shared" ref="AM100:AN100" si="71">+AM101+AM123+AM128+AM137+AM153</f>
        <v>0</v>
      </c>
      <c r="AN100" s="941">
        <f t="shared" si="71"/>
        <v>0</v>
      </c>
      <c r="AO100" s="905" t="e">
        <f t="shared" si="55"/>
        <v>#DIV/0!</v>
      </c>
      <c r="AP100" s="904">
        <f>+AP101+AP123</f>
        <v>71239288262</v>
      </c>
      <c r="AQ100" s="906">
        <f t="shared" si="53"/>
        <v>26388967261.940002</v>
      </c>
      <c r="AR100" s="947">
        <f t="shared" si="56"/>
        <v>0.37042716042990331</v>
      </c>
      <c r="AS100" s="907"/>
      <c r="AT100" s="908"/>
      <c r="AU100" s="909"/>
      <c r="AV100" s="910"/>
      <c r="AW100" s="911"/>
      <c r="AX100" s="911"/>
      <c r="BB100" s="1037"/>
      <c r="BD100" s="1037"/>
    </row>
    <row r="101" spans="1:56" ht="25.5" x14ac:dyDescent="0.25">
      <c r="A101" s="912" t="s">
        <v>2173</v>
      </c>
      <c r="B101" s="787"/>
      <c r="C101" s="788"/>
      <c r="D101" s="788"/>
      <c r="E101" s="788"/>
      <c r="F101" s="788"/>
      <c r="G101" s="788"/>
      <c r="H101" s="788"/>
      <c r="I101" s="788"/>
      <c r="J101" s="788"/>
      <c r="K101" s="795">
        <f>+(K102*AA102)+(K110*AA110)+(K116*AA116)</f>
        <v>1</v>
      </c>
      <c r="L101" s="789">
        <f>+(L102*AB102)+(L110*AB110)+(L116*AB116)</f>
        <v>1</v>
      </c>
      <c r="M101" s="789">
        <f>+(M102*AC102)+(M110*AC110)+(M116*AC116)</f>
        <v>0.92278000000000016</v>
      </c>
      <c r="N101" s="943"/>
      <c r="O101" s="943"/>
      <c r="P101" s="790"/>
      <c r="Q101" s="791"/>
      <c r="R101" s="791"/>
      <c r="S101" s="943"/>
      <c r="T101" s="943"/>
      <c r="U101" s="943"/>
      <c r="V101" s="914"/>
      <c r="W101" s="943"/>
      <c r="X101" s="943"/>
      <c r="Y101" s="791"/>
      <c r="Z101" s="793">
        <f>+(Z102*AA102)+(Z110*AA110)+(Z116*AA116)</f>
        <v>0.69172403426167106</v>
      </c>
      <c r="AA101" s="794">
        <v>0.5</v>
      </c>
      <c r="AB101" s="795">
        <v>0.5</v>
      </c>
      <c r="AC101" s="795">
        <v>0.5</v>
      </c>
      <c r="AD101" s="915">
        <f>+'Anexo 5.2-A. Gastos Rev'!CD97</f>
        <v>3180329000</v>
      </c>
      <c r="AE101" s="931">
        <f t="shared" ref="AE101" si="72">+AE102+AE110+AE116</f>
        <v>288338760</v>
      </c>
      <c r="AF101" s="915">
        <f>+AF102+AF110+AF116</f>
        <v>3252685706.4499998</v>
      </c>
      <c r="AG101" s="916">
        <f>+'Anexo 5.2-A. Gastos Rev'!CE97</f>
        <v>3179150940</v>
      </c>
      <c r="AH101" s="794">
        <f t="shared" si="48"/>
        <v>0.9996295792039126</v>
      </c>
      <c r="AI101" s="915">
        <f>+'Anexo 5.2-A. Gastos Rev'!CF97</f>
        <v>3157719556</v>
      </c>
      <c r="AJ101" s="915">
        <f>+'Anexo 5.2-A. Gastos Rev'!CG97</f>
        <v>2005747024</v>
      </c>
      <c r="AK101" s="978">
        <f t="shared" si="50"/>
        <v>0.99325877116108241</v>
      </c>
      <c r="AL101" s="915">
        <f t="shared" si="51"/>
        <v>21431384</v>
      </c>
      <c r="AM101" s="915">
        <f t="shared" ref="AM101:AN101" si="73">+AM102+AM110+AM116</f>
        <v>0</v>
      </c>
      <c r="AN101" s="915">
        <f t="shared" si="73"/>
        <v>0</v>
      </c>
      <c r="AO101" s="799" t="e">
        <f t="shared" si="55"/>
        <v>#DIV/0!</v>
      </c>
      <c r="AP101" s="916">
        <f>+AP102+AP110+AP116</f>
        <v>14731842550</v>
      </c>
      <c r="AQ101" s="917">
        <f t="shared" si="53"/>
        <v>6720175406.4499998</v>
      </c>
      <c r="AR101" s="948">
        <f t="shared" si="56"/>
        <v>0.45616665964502856</v>
      </c>
      <c r="AS101" s="919"/>
      <c r="AT101" s="802" t="s">
        <v>94</v>
      </c>
      <c r="AU101" s="803"/>
      <c r="AV101" s="804"/>
      <c r="AW101" s="805"/>
      <c r="AX101" s="805"/>
      <c r="BB101" s="1037"/>
      <c r="BD101" s="1037"/>
    </row>
    <row r="102" spans="1:56" x14ac:dyDescent="0.25">
      <c r="A102" s="806" t="s">
        <v>2143</v>
      </c>
      <c r="B102" s="807"/>
      <c r="C102" s="808"/>
      <c r="D102" s="808"/>
      <c r="E102" s="808"/>
      <c r="F102" s="808"/>
      <c r="G102" s="808"/>
      <c r="H102" s="808"/>
      <c r="I102" s="808"/>
      <c r="J102" s="808"/>
      <c r="K102" s="809">
        <f>+(K103*AA103)+(K104*AA104)+(K105*AA105)+(K106*AA106)+(K107*AA107)+(K108*AA108)+(K109*AA109)</f>
        <v>1</v>
      </c>
      <c r="L102" s="810">
        <f>+(L103*AB103)+(L104*AB104)+(L105*AB105)+(L106*AB106)+(L107*AB107)+(L108*AB108)+(L109*AB109)</f>
        <v>1</v>
      </c>
      <c r="M102" s="810">
        <f>+(M103*AC103)+(M104*AC104)+(M105*AC105)+(M106*AC106)+(M107*AC107)+(M108*AC108)+(M109*AC109)</f>
        <v>1</v>
      </c>
      <c r="N102" s="944"/>
      <c r="O102" s="944"/>
      <c r="P102" s="811"/>
      <c r="Q102" s="812"/>
      <c r="R102" s="812"/>
      <c r="S102" s="944"/>
      <c r="T102" s="944"/>
      <c r="U102" s="944"/>
      <c r="V102" s="855"/>
      <c r="W102" s="944"/>
      <c r="X102" s="944"/>
      <c r="Y102" s="812"/>
      <c r="Z102" s="814">
        <f>+(Z103*AA103)+(Z104*AA104)+(Z105*AA105)+(Z106*AA106)+(Z107*AA107)+(Z108*AA108)+(Z109*AA109)</f>
        <v>0.67947194950911638</v>
      </c>
      <c r="AA102" s="815">
        <v>0.34</v>
      </c>
      <c r="AB102" s="809">
        <v>0.34</v>
      </c>
      <c r="AC102" s="809">
        <v>0.34</v>
      </c>
      <c r="AD102" s="856">
        <f>+'Anexo 5.2-A. Gastos Rev'!CD98</f>
        <v>1349369000</v>
      </c>
      <c r="AE102" s="933">
        <v>143963560</v>
      </c>
      <c r="AF102" s="856">
        <f>+SUM(AF103:AF109)</f>
        <v>1293205010.8099999</v>
      </c>
      <c r="AG102" s="858">
        <f>+'Anexo 5.2-A. Gastos Rev'!CE98</f>
        <v>1348854924</v>
      </c>
      <c r="AH102" s="815">
        <f t="shared" si="48"/>
        <v>0.99961902489237564</v>
      </c>
      <c r="AI102" s="856">
        <f>+'Anexo 5.2-A. Gastos Rev'!CF98</f>
        <v>1327423540</v>
      </c>
      <c r="AJ102" s="856">
        <f>+'Anexo 5.2-A. Gastos Rev'!CG98</f>
        <v>774196448</v>
      </c>
      <c r="AK102" s="979">
        <f t="shared" si="50"/>
        <v>0.98411142397994467</v>
      </c>
      <c r="AL102" s="856">
        <f t="shared" si="51"/>
        <v>21431384</v>
      </c>
      <c r="AM102" s="856">
        <f t="shared" ref="AM102:AN102" si="74">+SUM(AM103:AM109)</f>
        <v>0</v>
      </c>
      <c r="AN102" s="856">
        <f t="shared" si="74"/>
        <v>0</v>
      </c>
      <c r="AO102" s="820" t="e">
        <f t="shared" si="55"/>
        <v>#DIV/0!</v>
      </c>
      <c r="AP102" s="858">
        <v>5761842550</v>
      </c>
      <c r="AQ102" s="860">
        <f t="shared" si="53"/>
        <v>2786023494.8099999</v>
      </c>
      <c r="AR102" s="949">
        <f t="shared" si="56"/>
        <v>0.48352995949359984</v>
      </c>
      <c r="AS102" s="861"/>
      <c r="AT102" s="823"/>
      <c r="AU102" s="824"/>
      <c r="AV102" s="825"/>
      <c r="AW102" s="826"/>
      <c r="AX102" s="826"/>
      <c r="BB102" s="1037"/>
      <c r="BD102" s="1037"/>
    </row>
    <row r="103" spans="1:56" ht="63.75" x14ac:dyDescent="0.25">
      <c r="A103" s="827" t="s">
        <v>2413</v>
      </c>
      <c r="B103" s="893" t="s">
        <v>2414</v>
      </c>
      <c r="C103" s="828">
        <v>3</v>
      </c>
      <c r="D103" s="828">
        <v>3</v>
      </c>
      <c r="E103" s="828">
        <v>5</v>
      </c>
      <c r="F103" s="828"/>
      <c r="G103" s="828">
        <v>3</v>
      </c>
      <c r="H103" s="828">
        <v>3</v>
      </c>
      <c r="I103" s="828">
        <v>5</v>
      </c>
      <c r="J103" s="828"/>
      <c r="K103" s="838">
        <f t="shared" ref="K103:K109" si="75">IF((G103+J103)/C103&gt;=100%,100%,(G103+J103)/C103)</f>
        <v>1</v>
      </c>
      <c r="L103" s="830">
        <f t="shared" ref="L103:M109" si="76">IF(H103/D103&gt;=100%,100%,H103/D103)</f>
        <v>1</v>
      </c>
      <c r="M103" s="830">
        <f t="shared" si="76"/>
        <v>1</v>
      </c>
      <c r="N103" s="945"/>
      <c r="O103" s="945"/>
      <c r="P103" s="831"/>
      <c r="Q103" s="832"/>
      <c r="R103" s="518"/>
      <c r="S103" s="945"/>
      <c r="T103" s="945"/>
      <c r="U103" s="945"/>
      <c r="V103" s="833"/>
      <c r="W103" s="945"/>
      <c r="X103" s="945">
        <v>20</v>
      </c>
      <c r="Y103" s="835">
        <f t="shared" ref="Y103:Y109" si="77">SUM(G103:I103)</f>
        <v>11</v>
      </c>
      <c r="Z103" s="836">
        <f t="shared" ref="Z103:Z127" si="78">IF(Y103/X103&gt;=100%,100%,Y103/X103)</f>
        <v>0.55000000000000004</v>
      </c>
      <c r="AA103" s="837">
        <v>0.14000000000000001</v>
      </c>
      <c r="AB103" s="838">
        <v>0.14000000000000001</v>
      </c>
      <c r="AC103" s="838">
        <v>0.14000000000000001</v>
      </c>
      <c r="AD103" s="866">
        <f>+'Anexo 5.2-A. Gastos Rev'!CD99</f>
        <v>100000000</v>
      </c>
      <c r="AE103" s="934"/>
      <c r="AF103" s="866">
        <v>150000000</v>
      </c>
      <c r="AG103" s="985">
        <f>+'Anexo 5.2-A. Gastos Rev'!CE99</f>
        <v>100000000</v>
      </c>
      <c r="AH103" s="837">
        <f t="shared" si="48"/>
        <v>1</v>
      </c>
      <c r="AI103" s="1003">
        <f>+'Anexo 5.2-A. Gastos Rev'!CF99</f>
        <v>100000000</v>
      </c>
      <c r="AJ103" s="1003">
        <f>+'Anexo 5.2-A. Gastos Rev'!CG99</f>
        <v>0</v>
      </c>
      <c r="AK103" s="1004">
        <f t="shared" si="50"/>
        <v>1</v>
      </c>
      <c r="AL103" s="1003">
        <f t="shared" si="51"/>
        <v>0</v>
      </c>
      <c r="AM103" s="1003"/>
      <c r="AN103" s="1003"/>
      <c r="AO103" s="843" t="e">
        <f t="shared" si="55"/>
        <v>#DIV/0!</v>
      </c>
      <c r="AP103" s="862"/>
      <c r="AQ103" s="866">
        <f t="shared" si="53"/>
        <v>250000000</v>
      </c>
      <c r="AR103" s="867" t="e">
        <f t="shared" si="56"/>
        <v>#DIV/0!</v>
      </c>
      <c r="AS103" s="936"/>
      <c r="AT103" s="494"/>
      <c r="AU103" s="493" t="s">
        <v>116</v>
      </c>
      <c r="AV103" s="846" t="s">
        <v>2277</v>
      </c>
      <c r="AW103" s="847"/>
      <c r="AX103" s="847"/>
      <c r="BB103" s="1037"/>
      <c r="BD103" s="1037"/>
    </row>
    <row r="104" spans="1:56" ht="38.25" x14ac:dyDescent="0.25">
      <c r="A104" s="827" t="s">
        <v>2415</v>
      </c>
      <c r="B104" s="893" t="s">
        <v>2340</v>
      </c>
      <c r="C104" s="828">
        <v>1</v>
      </c>
      <c r="D104" s="828">
        <v>1</v>
      </c>
      <c r="E104" s="828">
        <v>1</v>
      </c>
      <c r="F104" s="828"/>
      <c r="G104" s="828">
        <v>1</v>
      </c>
      <c r="H104" s="828">
        <v>1</v>
      </c>
      <c r="I104" s="828">
        <v>1</v>
      </c>
      <c r="J104" s="828"/>
      <c r="K104" s="838">
        <f t="shared" si="75"/>
        <v>1</v>
      </c>
      <c r="L104" s="830">
        <f t="shared" si="76"/>
        <v>1</v>
      </c>
      <c r="M104" s="830">
        <f t="shared" si="76"/>
        <v>1</v>
      </c>
      <c r="N104" s="945" t="s">
        <v>2560</v>
      </c>
      <c r="O104" s="945"/>
      <c r="P104" s="831"/>
      <c r="Q104" s="832"/>
      <c r="R104" s="518"/>
      <c r="S104" s="945"/>
      <c r="T104" s="945"/>
      <c r="U104" s="945"/>
      <c r="V104" s="833"/>
      <c r="W104" s="945"/>
      <c r="X104" s="945">
        <v>5</v>
      </c>
      <c r="Y104" s="835">
        <f t="shared" si="77"/>
        <v>3</v>
      </c>
      <c r="Z104" s="836">
        <f t="shared" si="78"/>
        <v>0.6</v>
      </c>
      <c r="AA104" s="837">
        <v>0.15</v>
      </c>
      <c r="AB104" s="838">
        <v>0.15</v>
      </c>
      <c r="AC104" s="838">
        <v>0.15</v>
      </c>
      <c r="AD104" s="866">
        <f>+'Anexo 5.2-A. Gastos Rev'!CD100</f>
        <v>369369000</v>
      </c>
      <c r="AE104" s="934"/>
      <c r="AF104" s="866">
        <v>100000000</v>
      </c>
      <c r="AG104" s="985">
        <f>+'Anexo 5.2-A. Gastos Rev'!CE100</f>
        <v>369369000</v>
      </c>
      <c r="AH104" s="837">
        <f t="shared" ref="AH104:AH135" si="79">+AG104/AD104</f>
        <v>1</v>
      </c>
      <c r="AI104" s="1003">
        <f>+'Anexo 5.2-A. Gastos Rev'!CF100</f>
        <v>369369000</v>
      </c>
      <c r="AJ104" s="1003">
        <f>+'Anexo 5.2-A. Gastos Rev'!CG100</f>
        <v>73627832</v>
      </c>
      <c r="AK104" s="1004">
        <f t="shared" si="50"/>
        <v>1</v>
      </c>
      <c r="AL104" s="1003">
        <f t="shared" si="51"/>
        <v>0</v>
      </c>
      <c r="AM104" s="1003"/>
      <c r="AN104" s="1003"/>
      <c r="AO104" s="843" t="e">
        <f t="shared" si="55"/>
        <v>#DIV/0!</v>
      </c>
      <c r="AP104" s="862"/>
      <c r="AQ104" s="866">
        <f t="shared" si="53"/>
        <v>469369000</v>
      </c>
      <c r="AR104" s="867" t="e">
        <f t="shared" si="56"/>
        <v>#DIV/0!</v>
      </c>
      <c r="AS104" s="936"/>
      <c r="AT104" s="494"/>
      <c r="AU104" s="493" t="s">
        <v>116</v>
      </c>
      <c r="AV104" s="846" t="s">
        <v>2277</v>
      </c>
      <c r="AW104" s="847"/>
      <c r="AX104" s="847"/>
      <c r="BB104" s="1037"/>
      <c r="BD104" s="1037"/>
    </row>
    <row r="105" spans="1:56" ht="63.75" x14ac:dyDescent="0.25">
      <c r="A105" s="827" t="s">
        <v>2416</v>
      </c>
      <c r="B105" s="893" t="s">
        <v>2417</v>
      </c>
      <c r="C105" s="828">
        <v>1</v>
      </c>
      <c r="D105" s="828">
        <v>1</v>
      </c>
      <c r="E105" s="828">
        <v>1</v>
      </c>
      <c r="F105" s="828"/>
      <c r="G105" s="828">
        <v>1</v>
      </c>
      <c r="H105" s="828">
        <v>1</v>
      </c>
      <c r="I105" s="828">
        <v>1</v>
      </c>
      <c r="J105" s="828"/>
      <c r="K105" s="838">
        <f t="shared" si="75"/>
        <v>1</v>
      </c>
      <c r="L105" s="830">
        <f t="shared" si="76"/>
        <v>1</v>
      </c>
      <c r="M105" s="830">
        <f t="shared" si="76"/>
        <v>1</v>
      </c>
      <c r="N105" s="945" t="s">
        <v>2560</v>
      </c>
      <c r="O105" s="945"/>
      <c r="P105" s="831"/>
      <c r="Q105" s="832"/>
      <c r="R105" s="518"/>
      <c r="S105" s="945"/>
      <c r="T105" s="945"/>
      <c r="U105" s="945"/>
      <c r="V105" s="833"/>
      <c r="W105" s="945"/>
      <c r="X105" s="945">
        <v>4</v>
      </c>
      <c r="Y105" s="835">
        <f t="shared" si="77"/>
        <v>3</v>
      </c>
      <c r="Z105" s="836">
        <f t="shared" si="78"/>
        <v>0.75</v>
      </c>
      <c r="AA105" s="837">
        <v>0.14000000000000001</v>
      </c>
      <c r="AB105" s="838">
        <v>0.14000000000000001</v>
      </c>
      <c r="AC105" s="838">
        <v>0.14000000000000001</v>
      </c>
      <c r="AD105" s="866">
        <f>+'Anexo 5.2-A. Gastos Rev'!CD101</f>
        <v>161000000</v>
      </c>
      <c r="AE105" s="934"/>
      <c r="AF105" s="866">
        <v>250000000</v>
      </c>
      <c r="AG105" s="985">
        <f>+'Anexo 5.2-A. Gastos Rev'!CE101</f>
        <v>161000000</v>
      </c>
      <c r="AH105" s="837">
        <f t="shared" si="79"/>
        <v>1</v>
      </c>
      <c r="AI105" s="1003">
        <f>+'Anexo 5.2-A. Gastos Rev'!CF101</f>
        <v>161000000</v>
      </c>
      <c r="AJ105" s="1003">
        <f>+'Anexo 5.2-A. Gastos Rev'!CG101</f>
        <v>161000000</v>
      </c>
      <c r="AK105" s="1004">
        <f t="shared" si="50"/>
        <v>1</v>
      </c>
      <c r="AL105" s="1003">
        <f t="shared" si="51"/>
        <v>0</v>
      </c>
      <c r="AM105" s="1003"/>
      <c r="AN105" s="1003"/>
      <c r="AO105" s="843" t="e">
        <f t="shared" si="55"/>
        <v>#DIV/0!</v>
      </c>
      <c r="AP105" s="862"/>
      <c r="AQ105" s="866">
        <f t="shared" si="53"/>
        <v>411000000</v>
      </c>
      <c r="AR105" s="867" t="e">
        <f t="shared" si="56"/>
        <v>#DIV/0!</v>
      </c>
      <c r="AS105" s="936"/>
      <c r="AT105" s="494"/>
      <c r="AU105" s="493" t="s">
        <v>116</v>
      </c>
      <c r="AV105" s="846" t="s">
        <v>2277</v>
      </c>
      <c r="AW105" s="847"/>
      <c r="AX105" s="847"/>
      <c r="BB105" s="1037"/>
      <c r="BD105" s="1037"/>
    </row>
    <row r="106" spans="1:56" ht="90" customHeight="1" x14ac:dyDescent="0.25">
      <c r="A106" s="827" t="s">
        <v>2418</v>
      </c>
      <c r="B106" s="893" t="s">
        <v>2419</v>
      </c>
      <c r="C106" s="828">
        <v>12</v>
      </c>
      <c r="D106" s="828">
        <v>12</v>
      </c>
      <c r="E106" s="828">
        <v>17</v>
      </c>
      <c r="F106" s="828"/>
      <c r="G106" s="828">
        <v>12</v>
      </c>
      <c r="H106" s="828">
        <v>12</v>
      </c>
      <c r="I106" s="828">
        <v>17</v>
      </c>
      <c r="J106" s="828"/>
      <c r="K106" s="838">
        <f t="shared" si="75"/>
        <v>1</v>
      </c>
      <c r="L106" s="830">
        <f t="shared" si="76"/>
        <v>1</v>
      </c>
      <c r="M106" s="830">
        <f t="shared" si="76"/>
        <v>1</v>
      </c>
      <c r="N106" s="1032" t="s">
        <v>2581</v>
      </c>
      <c r="O106" s="945"/>
      <c r="P106" s="832" t="s">
        <v>75</v>
      </c>
      <c r="Q106" s="832"/>
      <c r="R106" s="832" t="s">
        <v>2521</v>
      </c>
      <c r="S106" s="945" t="s">
        <v>2582</v>
      </c>
      <c r="T106" s="945"/>
      <c r="U106" s="945"/>
      <c r="V106" s="833"/>
      <c r="W106" s="945"/>
      <c r="X106" s="945">
        <v>62</v>
      </c>
      <c r="Y106" s="835">
        <f t="shared" si="77"/>
        <v>41</v>
      </c>
      <c r="Z106" s="836">
        <f t="shared" si="78"/>
        <v>0.66129032258064513</v>
      </c>
      <c r="AA106" s="837">
        <v>0.14000000000000001</v>
      </c>
      <c r="AB106" s="838">
        <v>0.14000000000000001</v>
      </c>
      <c r="AC106" s="838">
        <v>0.14000000000000001</v>
      </c>
      <c r="AD106" s="866">
        <f>+'Anexo 5.2-A. Gastos Rev'!CD102</f>
        <v>400000000</v>
      </c>
      <c r="AE106" s="934"/>
      <c r="AF106" s="866">
        <v>180000000</v>
      </c>
      <c r="AG106" s="985">
        <f>+'Anexo 5.2-A. Gastos Rev'!CE102</f>
        <v>400000000</v>
      </c>
      <c r="AH106" s="837">
        <f t="shared" si="79"/>
        <v>1</v>
      </c>
      <c r="AI106" s="1003">
        <f>+'Anexo 5.2-A. Gastos Rev'!CF102</f>
        <v>378568616</v>
      </c>
      <c r="AJ106" s="1003">
        <f>+'Anexo 5.2-A. Gastos Rev'!CG102</f>
        <v>378568616</v>
      </c>
      <c r="AK106" s="1004">
        <f t="shared" si="50"/>
        <v>0.94642154000000001</v>
      </c>
      <c r="AL106" s="1003">
        <f t="shared" si="51"/>
        <v>21431384</v>
      </c>
      <c r="AM106" s="1003"/>
      <c r="AN106" s="1003"/>
      <c r="AO106" s="843" t="e">
        <f t="shared" si="55"/>
        <v>#DIV/0!</v>
      </c>
      <c r="AP106" s="862"/>
      <c r="AQ106" s="866">
        <f t="shared" si="53"/>
        <v>580000000</v>
      </c>
      <c r="AR106" s="867" t="e">
        <f t="shared" si="56"/>
        <v>#DIV/0!</v>
      </c>
      <c r="AS106" s="936"/>
      <c r="AT106" s="494"/>
      <c r="AU106" s="493" t="s">
        <v>108</v>
      </c>
      <c r="AV106" s="846" t="s">
        <v>2277</v>
      </c>
      <c r="AW106" s="847"/>
      <c r="AX106" s="847"/>
      <c r="BB106" s="1037"/>
      <c r="BD106" s="1037"/>
    </row>
    <row r="107" spans="1:56" ht="51" x14ac:dyDescent="0.25">
      <c r="A107" s="827" t="s">
        <v>2420</v>
      </c>
      <c r="B107" s="893" t="s">
        <v>2340</v>
      </c>
      <c r="C107" s="828">
        <v>1</v>
      </c>
      <c r="D107" s="828">
        <v>1</v>
      </c>
      <c r="E107" s="828">
        <v>1</v>
      </c>
      <c r="F107" s="828"/>
      <c r="G107" s="828">
        <v>1</v>
      </c>
      <c r="H107" s="828">
        <v>1</v>
      </c>
      <c r="I107" s="828">
        <v>1</v>
      </c>
      <c r="J107" s="828"/>
      <c r="K107" s="838">
        <f t="shared" si="75"/>
        <v>1</v>
      </c>
      <c r="L107" s="830">
        <f t="shared" si="76"/>
        <v>1</v>
      </c>
      <c r="M107" s="830">
        <f t="shared" si="76"/>
        <v>1</v>
      </c>
      <c r="N107" s="945" t="s">
        <v>2560</v>
      </c>
      <c r="O107" s="945"/>
      <c r="P107" s="831"/>
      <c r="Q107" s="832"/>
      <c r="R107" s="518"/>
      <c r="S107" s="945"/>
      <c r="T107" s="945"/>
      <c r="U107" s="945"/>
      <c r="V107" s="833"/>
      <c r="W107" s="945"/>
      <c r="X107" s="945">
        <v>4</v>
      </c>
      <c r="Y107" s="835">
        <f t="shared" si="77"/>
        <v>3</v>
      </c>
      <c r="Z107" s="836">
        <f t="shared" si="78"/>
        <v>0.75</v>
      </c>
      <c r="AA107" s="837">
        <v>0.15</v>
      </c>
      <c r="AB107" s="838">
        <v>0.15</v>
      </c>
      <c r="AC107" s="838">
        <v>0.15</v>
      </c>
      <c r="AD107" s="866">
        <f>+'Anexo 5.2-A. Gastos Rev'!CD103</f>
        <v>38000000</v>
      </c>
      <c r="AE107" s="934"/>
      <c r="AF107" s="866">
        <v>331218530.81</v>
      </c>
      <c r="AG107" s="985">
        <f>+'Anexo 5.2-A. Gastos Rev'!CE103</f>
        <v>38000000</v>
      </c>
      <c r="AH107" s="837">
        <f t="shared" si="79"/>
        <v>1</v>
      </c>
      <c r="AI107" s="1003">
        <f>+'Anexo 5.2-A. Gastos Rev'!CF103</f>
        <v>38000000</v>
      </c>
      <c r="AJ107" s="1003">
        <f>+'Anexo 5.2-A. Gastos Rev'!CG103</f>
        <v>0</v>
      </c>
      <c r="AK107" s="1004">
        <f t="shared" si="50"/>
        <v>1</v>
      </c>
      <c r="AL107" s="1003">
        <f t="shared" si="51"/>
        <v>0</v>
      </c>
      <c r="AM107" s="1003"/>
      <c r="AN107" s="1003"/>
      <c r="AO107" s="843" t="e">
        <f t="shared" si="55"/>
        <v>#DIV/0!</v>
      </c>
      <c r="AP107" s="862"/>
      <c r="AQ107" s="866">
        <f t="shared" si="53"/>
        <v>369218530.81</v>
      </c>
      <c r="AR107" s="867" t="e">
        <f t="shared" si="56"/>
        <v>#DIV/0!</v>
      </c>
      <c r="AS107" s="936"/>
      <c r="AT107" s="494"/>
      <c r="AU107" s="493" t="s">
        <v>116</v>
      </c>
      <c r="AV107" s="846" t="s">
        <v>2277</v>
      </c>
      <c r="AW107" s="847"/>
      <c r="AX107" s="847"/>
      <c r="BB107" s="1037"/>
      <c r="BD107" s="1037"/>
    </row>
    <row r="108" spans="1:56" ht="38.25" x14ac:dyDescent="0.25">
      <c r="A108" s="827" t="s">
        <v>2421</v>
      </c>
      <c r="B108" s="893" t="s">
        <v>2422</v>
      </c>
      <c r="C108" s="828">
        <v>4</v>
      </c>
      <c r="D108" s="828">
        <v>4</v>
      </c>
      <c r="E108" s="828">
        <v>4</v>
      </c>
      <c r="F108" s="828"/>
      <c r="G108" s="828">
        <v>4</v>
      </c>
      <c r="H108" s="828">
        <v>4</v>
      </c>
      <c r="I108" s="828">
        <v>4</v>
      </c>
      <c r="J108" s="828"/>
      <c r="K108" s="838">
        <f t="shared" si="75"/>
        <v>1</v>
      </c>
      <c r="L108" s="830">
        <f t="shared" si="76"/>
        <v>1</v>
      </c>
      <c r="M108" s="830">
        <f t="shared" si="76"/>
        <v>1</v>
      </c>
      <c r="N108" s="945" t="s">
        <v>2560</v>
      </c>
      <c r="O108" s="945"/>
      <c r="P108" s="831"/>
      <c r="Q108" s="832"/>
      <c r="R108" s="518"/>
      <c r="S108" s="945"/>
      <c r="T108" s="945"/>
      <c r="U108" s="945"/>
      <c r="V108" s="833"/>
      <c r="W108" s="945"/>
      <c r="X108" s="945">
        <v>16</v>
      </c>
      <c r="Y108" s="835">
        <f t="shared" si="77"/>
        <v>12</v>
      </c>
      <c r="Z108" s="836">
        <f t="shared" si="78"/>
        <v>0.75</v>
      </c>
      <c r="AA108" s="837">
        <v>0.14000000000000001</v>
      </c>
      <c r="AB108" s="838">
        <v>0.14000000000000001</v>
      </c>
      <c r="AC108" s="838">
        <v>0.14000000000000001</v>
      </c>
      <c r="AD108" s="866">
        <f>+'Anexo 5.2-A. Gastos Rev'!CD104</f>
        <v>120000000</v>
      </c>
      <c r="AE108" s="934"/>
      <c r="AF108" s="866">
        <v>91986480</v>
      </c>
      <c r="AG108" s="985">
        <f>+'Anexo 5.2-A. Gastos Rev'!CE104</f>
        <v>119485924</v>
      </c>
      <c r="AH108" s="837">
        <f t="shared" si="79"/>
        <v>0.99571603333333336</v>
      </c>
      <c r="AI108" s="1003">
        <f>+'Anexo 5.2-A. Gastos Rev'!CF104</f>
        <v>119485924</v>
      </c>
      <c r="AJ108" s="1003">
        <f>+'Anexo 5.2-A. Gastos Rev'!CG104</f>
        <v>0</v>
      </c>
      <c r="AK108" s="1004">
        <f t="shared" si="50"/>
        <v>1</v>
      </c>
      <c r="AL108" s="1003">
        <f t="shared" si="51"/>
        <v>0</v>
      </c>
      <c r="AM108" s="1003"/>
      <c r="AN108" s="1003"/>
      <c r="AO108" s="843" t="e">
        <f t="shared" si="55"/>
        <v>#DIV/0!</v>
      </c>
      <c r="AP108" s="862"/>
      <c r="AQ108" s="866">
        <f t="shared" si="53"/>
        <v>211472404</v>
      </c>
      <c r="AR108" s="867" t="e">
        <f t="shared" si="56"/>
        <v>#DIV/0!</v>
      </c>
      <c r="AS108" s="936"/>
      <c r="AT108" s="494"/>
      <c r="AU108" s="493" t="s">
        <v>116</v>
      </c>
      <c r="AV108" s="846" t="s">
        <v>2277</v>
      </c>
      <c r="AW108" s="847"/>
      <c r="AX108" s="847"/>
      <c r="BB108" s="1037"/>
      <c r="BD108" s="1037"/>
    </row>
    <row r="109" spans="1:56" ht="38.25" x14ac:dyDescent="0.25">
      <c r="A109" s="827" t="s">
        <v>2423</v>
      </c>
      <c r="B109" s="893" t="s">
        <v>2424</v>
      </c>
      <c r="C109" s="828">
        <v>5</v>
      </c>
      <c r="D109" s="828">
        <v>5</v>
      </c>
      <c r="E109" s="828">
        <v>6</v>
      </c>
      <c r="F109" s="828"/>
      <c r="G109" s="828">
        <v>5</v>
      </c>
      <c r="H109" s="828">
        <v>5</v>
      </c>
      <c r="I109" s="828">
        <v>6</v>
      </c>
      <c r="J109" s="828"/>
      <c r="K109" s="838">
        <f t="shared" si="75"/>
        <v>1</v>
      </c>
      <c r="L109" s="830">
        <f t="shared" si="76"/>
        <v>1</v>
      </c>
      <c r="M109" s="830">
        <f t="shared" si="76"/>
        <v>1</v>
      </c>
      <c r="N109" s="945" t="s">
        <v>2560</v>
      </c>
      <c r="O109" s="945"/>
      <c r="P109" s="831"/>
      <c r="Q109" s="832"/>
      <c r="R109" s="518"/>
      <c r="S109" s="945"/>
      <c r="T109" s="945"/>
      <c r="U109" s="945"/>
      <c r="V109" s="833"/>
      <c r="W109" s="945"/>
      <c r="X109" s="945">
        <v>23</v>
      </c>
      <c r="Y109" s="835">
        <f t="shared" si="77"/>
        <v>16</v>
      </c>
      <c r="Z109" s="836">
        <f t="shared" si="78"/>
        <v>0.69565217391304346</v>
      </c>
      <c r="AA109" s="837">
        <v>0.14000000000000001</v>
      </c>
      <c r="AB109" s="838">
        <v>0.14000000000000001</v>
      </c>
      <c r="AC109" s="838">
        <v>0.14000000000000001</v>
      </c>
      <c r="AD109" s="866">
        <f>+'Anexo 5.2-A. Gastos Rev'!CD105</f>
        <v>161000000</v>
      </c>
      <c r="AE109" s="934"/>
      <c r="AF109" s="866">
        <v>190000000</v>
      </c>
      <c r="AG109" s="985">
        <f>+'Anexo 5.2-A. Gastos Rev'!CE105</f>
        <v>161000000</v>
      </c>
      <c r="AH109" s="837">
        <f t="shared" si="79"/>
        <v>1</v>
      </c>
      <c r="AI109" s="1003">
        <f>+'Anexo 5.2-A. Gastos Rev'!CF105</f>
        <v>161000000</v>
      </c>
      <c r="AJ109" s="1003">
        <f>+'Anexo 5.2-A. Gastos Rev'!CG105</f>
        <v>161000000</v>
      </c>
      <c r="AK109" s="1004">
        <f t="shared" si="50"/>
        <v>1</v>
      </c>
      <c r="AL109" s="1003">
        <f t="shared" si="51"/>
        <v>0</v>
      </c>
      <c r="AM109" s="1003"/>
      <c r="AN109" s="1003"/>
      <c r="AO109" s="843" t="e">
        <f t="shared" si="55"/>
        <v>#DIV/0!</v>
      </c>
      <c r="AP109" s="862"/>
      <c r="AQ109" s="866">
        <f t="shared" si="53"/>
        <v>351000000</v>
      </c>
      <c r="AR109" s="867" t="e">
        <f t="shared" si="56"/>
        <v>#DIV/0!</v>
      </c>
      <c r="AS109" s="936"/>
      <c r="AT109" s="494"/>
      <c r="AU109" s="493" t="s">
        <v>116</v>
      </c>
      <c r="AV109" s="846" t="s">
        <v>2277</v>
      </c>
      <c r="AW109" s="847"/>
      <c r="AX109" s="847"/>
      <c r="BB109" s="1037"/>
      <c r="BD109" s="1037"/>
    </row>
    <row r="110" spans="1:56" x14ac:dyDescent="0.25">
      <c r="A110" s="806" t="s">
        <v>2144</v>
      </c>
      <c r="B110" s="807"/>
      <c r="C110" s="808"/>
      <c r="D110" s="808"/>
      <c r="E110" s="808"/>
      <c r="F110" s="808"/>
      <c r="G110" s="808"/>
      <c r="H110" s="808"/>
      <c r="I110" s="808"/>
      <c r="J110" s="808"/>
      <c r="K110" s="809">
        <f>+(K111*AA111)+(K112*AA112)+(K113*AA113)+(K114*AA114)+(K115*AA115)</f>
        <v>1</v>
      </c>
      <c r="L110" s="810">
        <f>+(L111*AB111)+(L112*AB112)+(L113*AB113)+(L114*AB114)+(L115*AB115)</f>
        <v>1</v>
      </c>
      <c r="M110" s="810">
        <f>+(M111*AC111)+(M112*AC112)+(M113*AC113)+(M114*AC114)+(M115*AC115)</f>
        <v>0.8</v>
      </c>
      <c r="N110" s="944"/>
      <c r="O110" s="944"/>
      <c r="P110" s="811"/>
      <c r="Q110" s="812"/>
      <c r="R110" s="812"/>
      <c r="S110" s="944"/>
      <c r="T110" s="944"/>
      <c r="U110" s="944"/>
      <c r="V110" s="855"/>
      <c r="W110" s="944"/>
      <c r="X110" s="944"/>
      <c r="Y110" s="812"/>
      <c r="Z110" s="814">
        <f>+(Z111*AA111)+(Z112*AA112)+(Z113*AA113)+(Z114*AA114)+(Z115*AA115)</f>
        <v>0.68333333333333335</v>
      </c>
      <c r="AA110" s="815">
        <v>0.33</v>
      </c>
      <c r="AB110" s="809">
        <v>0.33</v>
      </c>
      <c r="AC110" s="809">
        <v>0.33</v>
      </c>
      <c r="AD110" s="856">
        <f>+'Anexo 5.2-A. Gastos Rev'!CD106</f>
        <v>459000000</v>
      </c>
      <c r="AE110" s="933">
        <v>120480000</v>
      </c>
      <c r="AF110" s="856">
        <f>+SUM(AF111:AF115)</f>
        <v>903316202.63999999</v>
      </c>
      <c r="AG110" s="858">
        <f>+'Anexo 5.2-A. Gastos Rev'!CE106</f>
        <v>458828000</v>
      </c>
      <c r="AH110" s="815">
        <f t="shared" si="79"/>
        <v>0.99962527233115472</v>
      </c>
      <c r="AI110" s="856">
        <f>+'Anexo 5.2-A. Gastos Rev'!CF106</f>
        <v>458828000</v>
      </c>
      <c r="AJ110" s="856">
        <f>+'Anexo 5.2-A. Gastos Rev'!CG106</f>
        <v>200800000</v>
      </c>
      <c r="AK110" s="979">
        <f t="shared" si="50"/>
        <v>1</v>
      </c>
      <c r="AL110" s="856">
        <f t="shared" si="51"/>
        <v>0</v>
      </c>
      <c r="AM110" s="856">
        <f t="shared" ref="AM110:AN110" si="80">+SUM(AM111:AM115)</f>
        <v>0</v>
      </c>
      <c r="AN110" s="856">
        <f t="shared" si="80"/>
        <v>0</v>
      </c>
      <c r="AO110" s="820" t="e">
        <f t="shared" si="55"/>
        <v>#DIV/0!</v>
      </c>
      <c r="AP110" s="858">
        <v>4210000000</v>
      </c>
      <c r="AQ110" s="860">
        <f t="shared" si="53"/>
        <v>1482624202.6399999</v>
      </c>
      <c r="AR110" s="881">
        <f t="shared" si="56"/>
        <v>0.35216726903562945</v>
      </c>
      <c r="AS110" s="861"/>
      <c r="AT110" s="823"/>
      <c r="AU110" s="824"/>
      <c r="AV110" s="825"/>
      <c r="AW110" s="826"/>
      <c r="AX110" s="826"/>
      <c r="BB110" s="1037"/>
      <c r="BD110" s="1037"/>
    </row>
    <row r="111" spans="1:56" ht="51" x14ac:dyDescent="0.25">
      <c r="A111" s="827" t="s">
        <v>2425</v>
      </c>
      <c r="B111" s="893" t="s">
        <v>2426</v>
      </c>
      <c r="C111" s="828">
        <v>5</v>
      </c>
      <c r="D111" s="828">
        <v>5</v>
      </c>
      <c r="E111" s="828">
        <v>10</v>
      </c>
      <c r="F111" s="828"/>
      <c r="G111" s="828">
        <v>5</v>
      </c>
      <c r="H111" s="828">
        <v>5</v>
      </c>
      <c r="I111" s="828">
        <v>10</v>
      </c>
      <c r="J111" s="828"/>
      <c r="K111" s="838">
        <f>IF((G111+J111)/C111&gt;=100%,100%,(G111+J111)/C111)</f>
        <v>1</v>
      </c>
      <c r="L111" s="830">
        <f t="shared" ref="L111:M115" si="81">IF(H111/D111&gt;=100%,100%,H111/D111)</f>
        <v>1</v>
      </c>
      <c r="M111" s="830">
        <f t="shared" si="81"/>
        <v>1</v>
      </c>
      <c r="N111" s="945" t="s">
        <v>2560</v>
      </c>
      <c r="O111" s="945"/>
      <c r="P111" s="831"/>
      <c r="Q111" s="832"/>
      <c r="R111" s="518"/>
      <c r="S111" s="945"/>
      <c r="T111" s="945"/>
      <c r="U111" s="945"/>
      <c r="V111" s="833"/>
      <c r="W111" s="945"/>
      <c r="X111" s="945">
        <v>30</v>
      </c>
      <c r="Y111" s="835">
        <f>SUM(G111:I111)</f>
        <v>20</v>
      </c>
      <c r="Z111" s="836">
        <f t="shared" ref="Z111:Z115" si="82">IF(Y111/X111&gt;=100%,100%,Y111/X111)</f>
        <v>0.66666666666666663</v>
      </c>
      <c r="AA111" s="837">
        <v>0.2</v>
      </c>
      <c r="AB111" s="838">
        <v>0.2</v>
      </c>
      <c r="AC111" s="838">
        <v>0.2</v>
      </c>
      <c r="AD111" s="866">
        <f>+'Anexo 5.2-A. Gastos Rev'!CD107</f>
        <v>133500000</v>
      </c>
      <c r="AE111" s="934"/>
      <c r="AF111" s="866">
        <v>180000000</v>
      </c>
      <c r="AG111" s="985">
        <f>+'Anexo 5.2-A. Gastos Rev'!CE107</f>
        <v>133500000</v>
      </c>
      <c r="AH111" s="837">
        <f t="shared" si="79"/>
        <v>1</v>
      </c>
      <c r="AI111" s="1003">
        <f>+'Anexo 5.2-A. Gastos Rev'!CF107</f>
        <v>133500000</v>
      </c>
      <c r="AJ111" s="1003">
        <f>+'Anexo 5.2-A. Gastos Rev'!CG107</f>
        <v>66900000</v>
      </c>
      <c r="AK111" s="1004">
        <f t="shared" si="50"/>
        <v>1</v>
      </c>
      <c r="AL111" s="1003">
        <f t="shared" si="51"/>
        <v>0</v>
      </c>
      <c r="AM111" s="1003"/>
      <c r="AN111" s="1003"/>
      <c r="AO111" s="843" t="e">
        <f t="shared" si="55"/>
        <v>#DIV/0!</v>
      </c>
      <c r="AP111" s="862"/>
      <c r="AQ111" s="866">
        <f t="shared" si="53"/>
        <v>313500000</v>
      </c>
      <c r="AR111" s="867" t="e">
        <f t="shared" si="56"/>
        <v>#DIV/0!</v>
      </c>
      <c r="AS111" s="936"/>
      <c r="AT111" s="494"/>
      <c r="AU111" s="493" t="s">
        <v>116</v>
      </c>
      <c r="AV111" s="846" t="s">
        <v>2386</v>
      </c>
      <c r="AW111" s="847"/>
      <c r="AX111" s="847"/>
      <c r="BB111" s="1037"/>
      <c r="BD111" s="1037"/>
    </row>
    <row r="112" spans="1:56" ht="51" x14ac:dyDescent="0.25">
      <c r="A112" s="827" t="s">
        <v>2427</v>
      </c>
      <c r="B112" s="893" t="s">
        <v>2340</v>
      </c>
      <c r="C112" s="828">
        <v>1</v>
      </c>
      <c r="D112" s="828">
        <v>1</v>
      </c>
      <c r="E112" s="828">
        <v>1</v>
      </c>
      <c r="F112" s="828"/>
      <c r="G112" s="828">
        <v>1</v>
      </c>
      <c r="H112" s="828">
        <v>1</v>
      </c>
      <c r="I112" s="828">
        <v>1</v>
      </c>
      <c r="J112" s="828"/>
      <c r="K112" s="838">
        <f>IF((G112+J112)/C112&gt;=100%,100%,(G112+J112)/C112)</f>
        <v>1</v>
      </c>
      <c r="L112" s="830">
        <f t="shared" si="81"/>
        <v>1</v>
      </c>
      <c r="M112" s="830">
        <f t="shared" si="81"/>
        <v>1</v>
      </c>
      <c r="N112" s="945" t="s">
        <v>2583</v>
      </c>
      <c r="O112" s="945"/>
      <c r="P112" s="831"/>
      <c r="Q112" s="832"/>
      <c r="R112" s="518"/>
      <c r="S112" s="945"/>
      <c r="T112" s="945"/>
      <c r="U112" s="945"/>
      <c r="V112" s="833"/>
      <c r="W112" s="945"/>
      <c r="X112" s="945">
        <v>4</v>
      </c>
      <c r="Y112" s="835">
        <f>SUM(G112:I112)</f>
        <v>3</v>
      </c>
      <c r="Z112" s="836">
        <f t="shared" si="82"/>
        <v>0.75</v>
      </c>
      <c r="AA112" s="837">
        <v>0.2</v>
      </c>
      <c r="AB112" s="838">
        <v>0.2</v>
      </c>
      <c r="AC112" s="838">
        <v>0.2</v>
      </c>
      <c r="AD112" s="866">
        <f>+'Anexo 5.2-A. Gastos Rev'!CD108</f>
        <v>133500000</v>
      </c>
      <c r="AE112" s="934"/>
      <c r="AF112" s="866">
        <v>291043536</v>
      </c>
      <c r="AG112" s="985">
        <f>+'Anexo 5.2-A. Gastos Rev'!CE108</f>
        <v>133500000</v>
      </c>
      <c r="AH112" s="837">
        <f t="shared" si="79"/>
        <v>1</v>
      </c>
      <c r="AI112" s="1003">
        <f>+'Anexo 5.2-A. Gastos Rev'!CF108</f>
        <v>133500000</v>
      </c>
      <c r="AJ112" s="1003">
        <f>+'Anexo 5.2-A. Gastos Rev'!CG108</f>
        <v>66900000</v>
      </c>
      <c r="AK112" s="1004">
        <f t="shared" si="50"/>
        <v>1</v>
      </c>
      <c r="AL112" s="1003">
        <f t="shared" si="51"/>
        <v>0</v>
      </c>
      <c r="AM112" s="1003"/>
      <c r="AN112" s="1003"/>
      <c r="AO112" s="843" t="e">
        <f t="shared" si="55"/>
        <v>#DIV/0!</v>
      </c>
      <c r="AP112" s="862"/>
      <c r="AQ112" s="866">
        <f t="shared" si="53"/>
        <v>424543536</v>
      </c>
      <c r="AR112" s="867" t="e">
        <f t="shared" si="56"/>
        <v>#DIV/0!</v>
      </c>
      <c r="AS112" s="936"/>
      <c r="AT112" s="494"/>
      <c r="AU112" s="493" t="s">
        <v>116</v>
      </c>
      <c r="AV112" s="846" t="s">
        <v>2386</v>
      </c>
      <c r="AW112" s="847"/>
      <c r="AX112" s="847"/>
      <c r="BB112" s="1037"/>
      <c r="BD112" s="1037"/>
    </row>
    <row r="113" spans="1:56" ht="38.25" x14ac:dyDescent="0.25">
      <c r="A113" s="827" t="s">
        <v>2428</v>
      </c>
      <c r="B113" s="893" t="s">
        <v>2340</v>
      </c>
      <c r="C113" s="828">
        <v>1</v>
      </c>
      <c r="D113" s="828">
        <v>1</v>
      </c>
      <c r="E113" s="828">
        <v>1</v>
      </c>
      <c r="F113" s="828"/>
      <c r="G113" s="828">
        <v>1</v>
      </c>
      <c r="H113" s="828">
        <v>1</v>
      </c>
      <c r="I113" s="828">
        <v>1</v>
      </c>
      <c r="J113" s="828"/>
      <c r="K113" s="838">
        <f>IF((G113+J113)/C113&gt;=100%,100%,(G113+J113)/C113)</f>
        <v>1</v>
      </c>
      <c r="L113" s="830">
        <f t="shared" si="81"/>
        <v>1</v>
      </c>
      <c r="M113" s="830">
        <f t="shared" si="81"/>
        <v>1</v>
      </c>
      <c r="N113" s="945" t="s">
        <v>2560</v>
      </c>
      <c r="O113" s="945"/>
      <c r="P113" s="831"/>
      <c r="Q113" s="832"/>
      <c r="R113" s="518"/>
      <c r="S113" s="945"/>
      <c r="T113" s="945"/>
      <c r="U113" s="945"/>
      <c r="V113" s="833"/>
      <c r="W113" s="945"/>
      <c r="X113" s="945">
        <v>4</v>
      </c>
      <c r="Y113" s="835">
        <f>SUM(G113:I113)</f>
        <v>3</v>
      </c>
      <c r="Z113" s="836">
        <f t="shared" si="82"/>
        <v>0.75</v>
      </c>
      <c r="AA113" s="837">
        <v>0.2</v>
      </c>
      <c r="AB113" s="838">
        <v>0.2</v>
      </c>
      <c r="AC113" s="838">
        <v>0.2</v>
      </c>
      <c r="AD113" s="866">
        <f>+'Anexo 5.2-A. Gastos Rev'!CD109</f>
        <v>0</v>
      </c>
      <c r="AE113" s="934"/>
      <c r="AF113" s="866">
        <v>150000000</v>
      </c>
      <c r="AG113" s="985">
        <f>+'Anexo 5.2-A. Gastos Rev'!CE109</f>
        <v>0</v>
      </c>
      <c r="AH113" s="837" t="e">
        <f t="shared" si="79"/>
        <v>#DIV/0!</v>
      </c>
      <c r="AI113" s="1003">
        <f>+'Anexo 5.2-A. Gastos Rev'!CF109</f>
        <v>0</v>
      </c>
      <c r="AJ113" s="1003">
        <f>+'Anexo 5.2-A. Gastos Rev'!CG109</f>
        <v>0</v>
      </c>
      <c r="AK113" s="1004" t="e">
        <f t="shared" si="50"/>
        <v>#DIV/0!</v>
      </c>
      <c r="AL113" s="1003">
        <f t="shared" si="51"/>
        <v>0</v>
      </c>
      <c r="AM113" s="1003"/>
      <c r="AN113" s="1003"/>
      <c r="AO113" s="843" t="e">
        <f t="shared" si="55"/>
        <v>#DIV/0!</v>
      </c>
      <c r="AP113" s="862"/>
      <c r="AQ113" s="866">
        <f t="shared" si="53"/>
        <v>150000000</v>
      </c>
      <c r="AR113" s="867" t="e">
        <f t="shared" si="56"/>
        <v>#DIV/0!</v>
      </c>
      <c r="AS113" s="936"/>
      <c r="AT113" s="494"/>
      <c r="AU113" s="493" t="s">
        <v>116</v>
      </c>
      <c r="AV113" s="846" t="s">
        <v>2277</v>
      </c>
      <c r="AW113" s="847"/>
      <c r="AX113" s="847"/>
      <c r="BB113" s="1037"/>
      <c r="BD113" s="1037"/>
    </row>
    <row r="114" spans="1:56" ht="38.25" x14ac:dyDescent="0.25">
      <c r="A114" s="827" t="s">
        <v>2429</v>
      </c>
      <c r="B114" s="893" t="s">
        <v>2340</v>
      </c>
      <c r="C114" s="828">
        <v>1</v>
      </c>
      <c r="D114" s="828">
        <v>1</v>
      </c>
      <c r="E114" s="828">
        <v>1</v>
      </c>
      <c r="F114" s="828"/>
      <c r="G114" s="828">
        <v>1</v>
      </c>
      <c r="H114" s="828">
        <v>1</v>
      </c>
      <c r="I114" s="828">
        <v>1</v>
      </c>
      <c r="J114" s="828"/>
      <c r="K114" s="838">
        <f>IF((G114+J114)/C114&gt;=100%,100%,(G114+J114)/C114)</f>
        <v>1</v>
      </c>
      <c r="L114" s="830">
        <f t="shared" si="81"/>
        <v>1</v>
      </c>
      <c r="M114" s="830">
        <f t="shared" si="81"/>
        <v>1</v>
      </c>
      <c r="N114" s="945" t="s">
        <v>2584</v>
      </c>
      <c r="O114" s="945"/>
      <c r="P114" s="831"/>
      <c r="Q114" s="832"/>
      <c r="R114" s="518"/>
      <c r="S114" s="945"/>
      <c r="T114" s="945"/>
      <c r="U114" s="945"/>
      <c r="V114" s="833"/>
      <c r="W114" s="945"/>
      <c r="X114" s="945">
        <v>4</v>
      </c>
      <c r="Y114" s="835">
        <f>SUM(G114:I114)</f>
        <v>3</v>
      </c>
      <c r="Z114" s="836">
        <f t="shared" si="82"/>
        <v>0.75</v>
      </c>
      <c r="AA114" s="837">
        <v>0.2</v>
      </c>
      <c r="AB114" s="838">
        <v>0.2</v>
      </c>
      <c r="AC114" s="838">
        <v>0.2</v>
      </c>
      <c r="AD114" s="866">
        <f>+'Anexo 5.2-A. Gastos Rev'!CD110</f>
        <v>0</v>
      </c>
      <c r="AE114" s="934"/>
      <c r="AF114" s="866">
        <v>111592666.66</v>
      </c>
      <c r="AG114" s="985">
        <f>+'Anexo 5.2-A. Gastos Rev'!CE110</f>
        <v>0</v>
      </c>
      <c r="AH114" s="837" t="e">
        <f t="shared" si="79"/>
        <v>#DIV/0!</v>
      </c>
      <c r="AI114" s="1003">
        <f>+'Anexo 5.2-A. Gastos Rev'!CF110</f>
        <v>0</v>
      </c>
      <c r="AJ114" s="1003">
        <f>+'Anexo 5.2-A. Gastos Rev'!CG110</f>
        <v>0</v>
      </c>
      <c r="AK114" s="1004" t="e">
        <f t="shared" si="50"/>
        <v>#DIV/0!</v>
      </c>
      <c r="AL114" s="1003">
        <f t="shared" si="51"/>
        <v>0</v>
      </c>
      <c r="AM114" s="1003"/>
      <c r="AN114" s="1003"/>
      <c r="AO114" s="843" t="e">
        <f t="shared" si="55"/>
        <v>#DIV/0!</v>
      </c>
      <c r="AP114" s="862"/>
      <c r="AQ114" s="866">
        <f t="shared" si="53"/>
        <v>111592666.66</v>
      </c>
      <c r="AR114" s="867" t="e">
        <f t="shared" si="56"/>
        <v>#DIV/0!</v>
      </c>
      <c r="AS114" s="936"/>
      <c r="AT114" s="494"/>
      <c r="AU114" s="493" t="s">
        <v>116</v>
      </c>
      <c r="AV114" s="846" t="s">
        <v>2277</v>
      </c>
      <c r="AW114" s="847"/>
      <c r="AX114" s="847"/>
      <c r="BB114" s="1037"/>
      <c r="BD114" s="1037"/>
    </row>
    <row r="115" spans="1:56" ht="51" x14ac:dyDescent="0.25">
      <c r="A115" s="827" t="s">
        <v>2430</v>
      </c>
      <c r="B115" s="893" t="s">
        <v>2340</v>
      </c>
      <c r="C115" s="828">
        <v>1</v>
      </c>
      <c r="D115" s="828">
        <v>1</v>
      </c>
      <c r="E115" s="828">
        <v>1</v>
      </c>
      <c r="F115" s="828"/>
      <c r="G115" s="828">
        <v>1</v>
      </c>
      <c r="H115" s="828">
        <v>1</v>
      </c>
      <c r="I115" s="828">
        <v>0</v>
      </c>
      <c r="J115" s="828"/>
      <c r="K115" s="838">
        <f>IF((G115+J115)/C115&gt;=100%,100%,(G115+J115)/C115)</f>
        <v>1</v>
      </c>
      <c r="L115" s="830">
        <f t="shared" si="81"/>
        <v>1</v>
      </c>
      <c r="M115" s="830">
        <f t="shared" si="81"/>
        <v>0</v>
      </c>
      <c r="N115" s="1031"/>
      <c r="O115" s="945"/>
      <c r="P115" s="831"/>
      <c r="Q115" s="832"/>
      <c r="R115" s="518"/>
      <c r="S115" s="945"/>
      <c r="T115" s="945"/>
      <c r="U115" s="945"/>
      <c r="V115" s="833"/>
      <c r="W115" s="945"/>
      <c r="X115" s="945">
        <v>4</v>
      </c>
      <c r="Y115" s="835">
        <f>SUM(G115:I115)</f>
        <v>2</v>
      </c>
      <c r="Z115" s="836">
        <f t="shared" si="82"/>
        <v>0.5</v>
      </c>
      <c r="AA115" s="837">
        <v>0.2</v>
      </c>
      <c r="AB115" s="838">
        <v>0.2</v>
      </c>
      <c r="AC115" s="838">
        <v>0.2</v>
      </c>
      <c r="AD115" s="866">
        <f>+'Anexo 5.2-A. Gastos Rev'!CD111</f>
        <v>192000000</v>
      </c>
      <c r="AE115" s="934"/>
      <c r="AF115" s="866">
        <v>170679999.97999999</v>
      </c>
      <c r="AG115" s="985">
        <f>+'Anexo 5.2-A. Gastos Rev'!CE111</f>
        <v>191828000</v>
      </c>
      <c r="AH115" s="837">
        <f t="shared" si="79"/>
        <v>0.99910416666666668</v>
      </c>
      <c r="AI115" s="1003">
        <f>+'Anexo 5.2-A. Gastos Rev'!CF111</f>
        <v>67000000</v>
      </c>
      <c r="AJ115" s="1003">
        <f>+'Anexo 5.2-A. Gastos Rev'!CG111</f>
        <v>67000000</v>
      </c>
      <c r="AK115" s="1004">
        <f t="shared" si="50"/>
        <v>0.34927122213649731</v>
      </c>
      <c r="AL115" s="1003">
        <f t="shared" si="51"/>
        <v>124828000</v>
      </c>
      <c r="AM115" s="1003"/>
      <c r="AN115" s="1003"/>
      <c r="AO115" s="843" t="e">
        <f t="shared" si="55"/>
        <v>#DIV/0!</v>
      </c>
      <c r="AP115" s="862"/>
      <c r="AQ115" s="866">
        <f t="shared" si="53"/>
        <v>362507999.98000002</v>
      </c>
      <c r="AR115" s="867" t="e">
        <f t="shared" si="56"/>
        <v>#DIV/0!</v>
      </c>
      <c r="AS115" s="936"/>
      <c r="AT115" s="494"/>
      <c r="AU115" s="493" t="s">
        <v>116</v>
      </c>
      <c r="AV115" s="846" t="s">
        <v>2386</v>
      </c>
      <c r="AW115" s="847"/>
      <c r="AX115" s="847"/>
      <c r="BB115" s="1037"/>
      <c r="BD115" s="1037"/>
    </row>
    <row r="116" spans="1:56" x14ac:dyDescent="0.25">
      <c r="A116" s="806" t="s">
        <v>2145</v>
      </c>
      <c r="B116" s="807"/>
      <c r="C116" s="808"/>
      <c r="D116" s="808"/>
      <c r="E116" s="808"/>
      <c r="F116" s="808"/>
      <c r="G116" s="808"/>
      <c r="H116" s="808"/>
      <c r="I116" s="808"/>
      <c r="J116" s="808"/>
      <c r="K116" s="809">
        <f>+(K117*AA117)+(K118*AA118)+(K119*AA119)+(K120*AA120)+(K121*AA121)+(K122*AA122)</f>
        <v>1</v>
      </c>
      <c r="L116" s="810">
        <f>+(L117*AB117)+(L118*AB118)+(L119*AB119)+(L120*AB120)+(L121*AB121)+(L122*AB122)</f>
        <v>1</v>
      </c>
      <c r="M116" s="810">
        <f>+(M117*AC117)+(M118*AC118)+(M119*AC119)+(M120*AC120)+(M121*AC121)+(M122*AC122)</f>
        <v>0.96600000000000008</v>
      </c>
      <c r="N116" s="944"/>
      <c r="O116" s="944"/>
      <c r="P116" s="811"/>
      <c r="Q116" s="812"/>
      <c r="R116" s="812"/>
      <c r="S116" s="944"/>
      <c r="T116" s="944"/>
      <c r="U116" s="944"/>
      <c r="V116" s="855"/>
      <c r="W116" s="944"/>
      <c r="X116" s="944"/>
      <c r="Y116" s="812"/>
      <c r="Z116" s="814">
        <f>+(Z117*AA117)+(Z118*AA118)+(Z119*AA119)+(Z120*AA120)+(Z121*AA121)+(Z122*AA122)</f>
        <v>0.71273809523809528</v>
      </c>
      <c r="AA116" s="815">
        <v>0.33</v>
      </c>
      <c r="AB116" s="809">
        <v>0.33</v>
      </c>
      <c r="AC116" s="809">
        <v>0.33</v>
      </c>
      <c r="AD116" s="856">
        <f>+'Anexo 5.2-A. Gastos Rev'!CD112</f>
        <v>1371960000</v>
      </c>
      <c r="AE116" s="933">
        <v>23895200</v>
      </c>
      <c r="AF116" s="856">
        <f>+SUM(AF117:AF122)</f>
        <v>1056164493</v>
      </c>
      <c r="AG116" s="858">
        <f>+'Anexo 5.2-A. Gastos Rev'!CE112</f>
        <v>1371468016</v>
      </c>
      <c r="AH116" s="815">
        <f t="shared" si="79"/>
        <v>0.99964140062392493</v>
      </c>
      <c r="AI116" s="856">
        <f>+'Anexo 5.2-A. Gastos Rev'!CF112</f>
        <v>1371468016</v>
      </c>
      <c r="AJ116" s="856">
        <f>+'Anexo 5.2-A. Gastos Rev'!CG112</f>
        <v>1030750576</v>
      </c>
      <c r="AK116" s="979">
        <f t="shared" si="50"/>
        <v>1</v>
      </c>
      <c r="AL116" s="856">
        <f t="shared" si="51"/>
        <v>0</v>
      </c>
      <c r="AM116" s="856">
        <f t="shared" ref="AM116:AN116" si="83">+SUM(AM117:AM122)</f>
        <v>0</v>
      </c>
      <c r="AN116" s="856">
        <f t="shared" si="83"/>
        <v>0</v>
      </c>
      <c r="AO116" s="820" t="e">
        <f t="shared" si="55"/>
        <v>#DIV/0!</v>
      </c>
      <c r="AP116" s="858">
        <v>4760000000</v>
      </c>
      <c r="AQ116" s="860">
        <f t="shared" si="53"/>
        <v>2451527709</v>
      </c>
      <c r="AR116" s="881">
        <f t="shared" si="56"/>
        <v>0.51502682962184876</v>
      </c>
      <c r="AS116" s="861"/>
      <c r="AT116" s="823"/>
      <c r="AU116" s="824"/>
      <c r="AV116" s="825"/>
      <c r="AW116" s="826"/>
      <c r="AX116" s="826"/>
      <c r="BB116" s="1037"/>
      <c r="BD116" s="1037"/>
    </row>
    <row r="117" spans="1:56" ht="51" x14ac:dyDescent="0.25">
      <c r="A117" s="827" t="s">
        <v>2431</v>
      </c>
      <c r="B117" s="893" t="s">
        <v>2432</v>
      </c>
      <c r="C117" s="828">
        <v>3</v>
      </c>
      <c r="D117" s="828">
        <v>3</v>
      </c>
      <c r="E117" s="828">
        <v>7</v>
      </c>
      <c r="F117" s="828"/>
      <c r="G117" s="828">
        <v>3</v>
      </c>
      <c r="H117" s="828">
        <v>3</v>
      </c>
      <c r="I117" s="828">
        <v>7</v>
      </c>
      <c r="J117" s="828"/>
      <c r="K117" s="838">
        <f t="shared" ref="K117:K122" si="84">IF((G117+J117)/C117&gt;=100%,100%,(G117+J117)/C117)</f>
        <v>1</v>
      </c>
      <c r="L117" s="830">
        <f t="shared" ref="L117:M122" si="85">IF(H117/D117&gt;=100%,100%,H117/D117)</f>
        <v>1</v>
      </c>
      <c r="M117" s="830">
        <f t="shared" si="85"/>
        <v>1</v>
      </c>
      <c r="N117" s="945" t="s">
        <v>2585</v>
      </c>
      <c r="O117" s="945"/>
      <c r="P117" s="831" t="s">
        <v>2525</v>
      </c>
      <c r="Q117" s="832" t="s">
        <v>2586</v>
      </c>
      <c r="R117" s="518"/>
      <c r="S117" s="945"/>
      <c r="T117" s="945"/>
      <c r="U117" s="945"/>
      <c r="V117" s="833"/>
      <c r="W117" s="945"/>
      <c r="X117" s="945">
        <v>21</v>
      </c>
      <c r="Y117" s="835">
        <f t="shared" ref="Y117:Y122" si="86">SUM(G117:I117)</f>
        <v>13</v>
      </c>
      <c r="Z117" s="836">
        <f t="shared" ref="Z117:Z122" si="87">IF(Y117/X117&gt;=100%,100%,Y117/X117)</f>
        <v>0.61904761904761907</v>
      </c>
      <c r="AA117" s="837">
        <v>0.17</v>
      </c>
      <c r="AB117" s="838">
        <v>0.17</v>
      </c>
      <c r="AC117" s="838">
        <v>0.17</v>
      </c>
      <c r="AD117" s="866">
        <f>+'Anexo 5.2-A. Gastos Rev'!CD113</f>
        <v>0</v>
      </c>
      <c r="AE117" s="934"/>
      <c r="AF117" s="866">
        <v>120000000</v>
      </c>
      <c r="AG117" s="985">
        <f>+'Anexo 5.2-A. Gastos Rev'!CE113</f>
        <v>0</v>
      </c>
      <c r="AH117" s="837" t="e">
        <f t="shared" si="79"/>
        <v>#DIV/0!</v>
      </c>
      <c r="AI117" s="1003">
        <f>+'Anexo 5.2-A. Gastos Rev'!CF113</f>
        <v>0</v>
      </c>
      <c r="AJ117" s="1003">
        <f>+'Anexo 5.2-A. Gastos Rev'!CG113</f>
        <v>0</v>
      </c>
      <c r="AK117" s="1004" t="e">
        <f t="shared" si="50"/>
        <v>#DIV/0!</v>
      </c>
      <c r="AL117" s="1003">
        <f t="shared" si="51"/>
        <v>0</v>
      </c>
      <c r="AM117" s="1003"/>
      <c r="AN117" s="1003"/>
      <c r="AO117" s="843" t="e">
        <f t="shared" si="55"/>
        <v>#DIV/0!</v>
      </c>
      <c r="AP117" s="862"/>
      <c r="AQ117" s="866">
        <f t="shared" si="53"/>
        <v>120000000</v>
      </c>
      <c r="AR117" s="867" t="e">
        <f t="shared" si="56"/>
        <v>#DIV/0!</v>
      </c>
      <c r="AS117" s="936"/>
      <c r="AT117" s="494"/>
      <c r="AU117" s="493" t="s">
        <v>116</v>
      </c>
      <c r="AV117" s="846" t="s">
        <v>2386</v>
      </c>
      <c r="AW117" s="847"/>
      <c r="AX117" s="847"/>
      <c r="BB117" s="1037"/>
      <c r="BD117" s="1037"/>
    </row>
    <row r="118" spans="1:56" ht="65.25" customHeight="1" x14ac:dyDescent="0.25">
      <c r="A118" s="827" t="s">
        <v>2433</v>
      </c>
      <c r="B118" s="893" t="s">
        <v>2434</v>
      </c>
      <c r="C118" s="828">
        <v>5</v>
      </c>
      <c r="D118" s="828">
        <v>5</v>
      </c>
      <c r="E118" s="828">
        <v>16</v>
      </c>
      <c r="F118" s="828"/>
      <c r="G118" s="828">
        <v>5</v>
      </c>
      <c r="H118" s="828">
        <v>5</v>
      </c>
      <c r="I118" s="828">
        <v>16</v>
      </c>
      <c r="J118" s="828"/>
      <c r="K118" s="838">
        <f t="shared" si="84"/>
        <v>1</v>
      </c>
      <c r="L118" s="830">
        <f t="shared" si="85"/>
        <v>1</v>
      </c>
      <c r="M118" s="830">
        <f t="shared" si="85"/>
        <v>1</v>
      </c>
      <c r="N118" s="945" t="s">
        <v>2587</v>
      </c>
      <c r="O118" s="945"/>
      <c r="P118" s="832" t="s">
        <v>75</v>
      </c>
      <c r="Q118" s="832"/>
      <c r="R118" s="832" t="s">
        <v>2521</v>
      </c>
      <c r="S118" s="945" t="s">
        <v>2588</v>
      </c>
      <c r="T118" s="945"/>
      <c r="U118" s="945"/>
      <c r="V118" s="833"/>
      <c r="W118" s="945"/>
      <c r="X118" s="945">
        <v>20</v>
      </c>
      <c r="Y118" s="835">
        <f t="shared" si="86"/>
        <v>26</v>
      </c>
      <c r="Z118" s="836">
        <f t="shared" si="87"/>
        <v>1</v>
      </c>
      <c r="AA118" s="837">
        <v>0.17</v>
      </c>
      <c r="AB118" s="838">
        <v>0.17</v>
      </c>
      <c r="AC118" s="838">
        <v>0.17</v>
      </c>
      <c r="AD118" s="866">
        <f>+'Anexo 5.2-A. Gastos Rev'!CD114</f>
        <v>876000000</v>
      </c>
      <c r="AE118" s="934"/>
      <c r="AF118" s="866">
        <v>283419160</v>
      </c>
      <c r="AG118" s="985">
        <f>+'Anexo 5.2-A. Gastos Rev'!CE114</f>
        <v>875508016</v>
      </c>
      <c r="AH118" s="837">
        <f t="shared" si="79"/>
        <v>0.99943837442922379</v>
      </c>
      <c r="AI118" s="1003">
        <f>+'Anexo 5.2-A. Gastos Rev'!CF114</f>
        <v>875508016</v>
      </c>
      <c r="AJ118" s="1003">
        <f>+'Anexo 5.2-A. Gastos Rev'!CG114</f>
        <v>732790576</v>
      </c>
      <c r="AK118" s="1004">
        <f t="shared" si="50"/>
        <v>1</v>
      </c>
      <c r="AL118" s="1003">
        <f t="shared" si="51"/>
        <v>0</v>
      </c>
      <c r="AM118" s="1003"/>
      <c r="AN118" s="1003"/>
      <c r="AO118" s="843" t="e">
        <f t="shared" si="55"/>
        <v>#DIV/0!</v>
      </c>
      <c r="AP118" s="862"/>
      <c r="AQ118" s="866">
        <f t="shared" si="53"/>
        <v>1158927176</v>
      </c>
      <c r="AR118" s="867" t="e">
        <f t="shared" si="56"/>
        <v>#DIV/0!</v>
      </c>
      <c r="AS118" s="936"/>
      <c r="AT118" s="494"/>
      <c r="AU118" s="493" t="s">
        <v>116</v>
      </c>
      <c r="AV118" s="846" t="s">
        <v>2277</v>
      </c>
      <c r="AW118" s="847"/>
      <c r="AX118" s="847"/>
      <c r="BB118" s="1037"/>
      <c r="BD118" s="1037"/>
    </row>
    <row r="119" spans="1:56" ht="48.75" customHeight="1" x14ac:dyDescent="0.25">
      <c r="A119" s="827" t="s">
        <v>2435</v>
      </c>
      <c r="B119" s="893" t="s">
        <v>2436</v>
      </c>
      <c r="C119" s="828">
        <v>3</v>
      </c>
      <c r="D119" s="828">
        <v>3</v>
      </c>
      <c r="E119" s="828">
        <v>5</v>
      </c>
      <c r="F119" s="828"/>
      <c r="G119" s="828">
        <v>3</v>
      </c>
      <c r="H119" s="828">
        <v>3</v>
      </c>
      <c r="I119" s="828">
        <v>5</v>
      </c>
      <c r="J119" s="828"/>
      <c r="K119" s="838">
        <f t="shared" si="84"/>
        <v>1</v>
      </c>
      <c r="L119" s="830">
        <f t="shared" si="85"/>
        <v>1</v>
      </c>
      <c r="M119" s="830">
        <f t="shared" si="85"/>
        <v>1</v>
      </c>
      <c r="N119" s="945" t="s">
        <v>2589</v>
      </c>
      <c r="O119" s="945"/>
      <c r="P119" s="832" t="s">
        <v>75</v>
      </c>
      <c r="Q119" s="832"/>
      <c r="R119" s="832" t="s">
        <v>2521</v>
      </c>
      <c r="S119" s="945" t="s">
        <v>2590</v>
      </c>
      <c r="T119" s="945"/>
      <c r="U119" s="945"/>
      <c r="V119" s="833"/>
      <c r="W119" s="945"/>
      <c r="X119" s="945">
        <v>16</v>
      </c>
      <c r="Y119" s="835">
        <f t="shared" si="86"/>
        <v>11</v>
      </c>
      <c r="Z119" s="836">
        <f t="shared" si="87"/>
        <v>0.6875</v>
      </c>
      <c r="AA119" s="837">
        <v>0.16</v>
      </c>
      <c r="AB119" s="838">
        <v>0.16</v>
      </c>
      <c r="AC119" s="838">
        <v>0.16</v>
      </c>
      <c r="AD119" s="866">
        <f>+'Anexo 5.2-A. Gastos Rev'!CD115</f>
        <v>98000000</v>
      </c>
      <c r="AE119" s="934"/>
      <c r="AF119" s="866">
        <v>200000000</v>
      </c>
      <c r="AG119" s="985">
        <f>+'Anexo 5.2-A. Gastos Rev'!CE115</f>
        <v>98000000</v>
      </c>
      <c r="AH119" s="837">
        <f t="shared" si="79"/>
        <v>1</v>
      </c>
      <c r="AI119" s="1003">
        <f>+'Anexo 5.2-A. Gastos Rev'!CF115</f>
        <v>98000000</v>
      </c>
      <c r="AJ119" s="1003">
        <f>+'Anexo 5.2-A. Gastos Rev'!CG115</f>
        <v>0</v>
      </c>
      <c r="AK119" s="1004">
        <f t="shared" si="50"/>
        <v>1</v>
      </c>
      <c r="AL119" s="1003">
        <f t="shared" si="51"/>
        <v>0</v>
      </c>
      <c r="AM119" s="1003"/>
      <c r="AN119" s="1003"/>
      <c r="AO119" s="843" t="e">
        <f t="shared" si="55"/>
        <v>#DIV/0!</v>
      </c>
      <c r="AP119" s="862"/>
      <c r="AQ119" s="866">
        <f t="shared" si="53"/>
        <v>298000000</v>
      </c>
      <c r="AR119" s="867" t="e">
        <f t="shared" si="56"/>
        <v>#DIV/0!</v>
      </c>
      <c r="AS119" s="936"/>
      <c r="AT119" s="494"/>
      <c r="AU119" s="493" t="s">
        <v>116</v>
      </c>
      <c r="AV119" s="846" t="s">
        <v>2277</v>
      </c>
      <c r="AW119" s="847"/>
      <c r="AX119" s="847"/>
      <c r="BB119" s="1037"/>
      <c r="BD119" s="1037"/>
    </row>
    <row r="120" spans="1:56" ht="51" x14ac:dyDescent="0.25">
      <c r="A120" s="827" t="s">
        <v>2437</v>
      </c>
      <c r="B120" s="893" t="s">
        <v>2438</v>
      </c>
      <c r="C120" s="828">
        <v>2</v>
      </c>
      <c r="D120" s="828">
        <v>2</v>
      </c>
      <c r="E120" s="828">
        <v>5</v>
      </c>
      <c r="F120" s="828"/>
      <c r="G120" s="828">
        <v>2</v>
      </c>
      <c r="H120" s="828">
        <v>2</v>
      </c>
      <c r="I120" s="828">
        <v>4</v>
      </c>
      <c r="J120" s="828"/>
      <c r="K120" s="838">
        <f t="shared" si="84"/>
        <v>1</v>
      </c>
      <c r="L120" s="830">
        <f t="shared" si="85"/>
        <v>1</v>
      </c>
      <c r="M120" s="830">
        <f t="shared" si="85"/>
        <v>0.8</v>
      </c>
      <c r="N120" s="945" t="s">
        <v>2591</v>
      </c>
      <c r="O120" s="945"/>
      <c r="P120" s="832" t="s">
        <v>75</v>
      </c>
      <c r="Q120" s="832"/>
      <c r="R120" s="832" t="s">
        <v>2521</v>
      </c>
      <c r="S120" s="945" t="s">
        <v>2592</v>
      </c>
      <c r="T120" s="945"/>
      <c r="U120" s="945"/>
      <c r="V120" s="833"/>
      <c r="W120" s="945"/>
      <c r="X120" s="945">
        <v>14</v>
      </c>
      <c r="Y120" s="835">
        <f t="shared" si="86"/>
        <v>8</v>
      </c>
      <c r="Z120" s="836">
        <f t="shared" si="87"/>
        <v>0.5714285714285714</v>
      </c>
      <c r="AA120" s="837">
        <v>0.17</v>
      </c>
      <c r="AB120" s="838">
        <v>0.17</v>
      </c>
      <c r="AC120" s="838">
        <v>0.17</v>
      </c>
      <c r="AD120" s="866">
        <f>+'Anexo 5.2-A. Gastos Rev'!CD116</f>
        <v>50000000</v>
      </c>
      <c r="AE120" s="934"/>
      <c r="AF120" s="866">
        <v>220000000</v>
      </c>
      <c r="AG120" s="985">
        <f>+'Anexo 5.2-A. Gastos Rev'!CE116</f>
        <v>50000000</v>
      </c>
      <c r="AH120" s="837">
        <f t="shared" si="79"/>
        <v>1</v>
      </c>
      <c r="AI120" s="1003">
        <f>+'Anexo 5.2-A. Gastos Rev'!CF116</f>
        <v>50000000</v>
      </c>
      <c r="AJ120" s="1003">
        <f>+'Anexo 5.2-A. Gastos Rev'!CG116</f>
        <v>0</v>
      </c>
      <c r="AK120" s="1004">
        <f t="shared" si="50"/>
        <v>1</v>
      </c>
      <c r="AL120" s="1003">
        <f t="shared" si="51"/>
        <v>0</v>
      </c>
      <c r="AM120" s="1003"/>
      <c r="AN120" s="1003"/>
      <c r="AO120" s="843" t="e">
        <f t="shared" si="55"/>
        <v>#DIV/0!</v>
      </c>
      <c r="AP120" s="862"/>
      <c r="AQ120" s="866">
        <f t="shared" si="53"/>
        <v>270000000</v>
      </c>
      <c r="AR120" s="867" t="e">
        <f t="shared" si="56"/>
        <v>#DIV/0!</v>
      </c>
      <c r="AS120" s="936"/>
      <c r="AT120" s="494"/>
      <c r="AU120" s="493" t="s">
        <v>116</v>
      </c>
      <c r="AV120" s="846" t="s">
        <v>2277</v>
      </c>
      <c r="AW120" s="847"/>
      <c r="AX120" s="847"/>
      <c r="BB120" s="1037"/>
      <c r="BD120" s="1037"/>
    </row>
    <row r="121" spans="1:56" ht="49.5" customHeight="1" x14ac:dyDescent="0.25">
      <c r="A121" s="827" t="s">
        <v>2439</v>
      </c>
      <c r="B121" s="893" t="s">
        <v>2440</v>
      </c>
      <c r="C121" s="828">
        <v>2</v>
      </c>
      <c r="D121" s="828">
        <v>2</v>
      </c>
      <c r="E121" s="828">
        <v>5</v>
      </c>
      <c r="F121" s="828"/>
      <c r="G121" s="828">
        <v>2</v>
      </c>
      <c r="H121" s="828">
        <v>2</v>
      </c>
      <c r="I121" s="828">
        <v>5</v>
      </c>
      <c r="J121" s="828"/>
      <c r="K121" s="838">
        <f t="shared" si="84"/>
        <v>1</v>
      </c>
      <c r="L121" s="830">
        <f t="shared" si="85"/>
        <v>1</v>
      </c>
      <c r="M121" s="830">
        <f t="shared" si="85"/>
        <v>1</v>
      </c>
      <c r="N121" s="945" t="s">
        <v>2593</v>
      </c>
      <c r="O121" s="945"/>
      <c r="P121" s="832" t="s">
        <v>75</v>
      </c>
      <c r="Q121" s="832"/>
      <c r="R121" s="832" t="s">
        <v>2521</v>
      </c>
      <c r="S121" s="945" t="s">
        <v>2594</v>
      </c>
      <c r="T121" s="945"/>
      <c r="U121" s="945"/>
      <c r="V121" s="833"/>
      <c r="W121" s="945"/>
      <c r="X121" s="945">
        <v>14</v>
      </c>
      <c r="Y121" s="835">
        <f t="shared" si="86"/>
        <v>9</v>
      </c>
      <c r="Z121" s="836">
        <f t="shared" si="87"/>
        <v>0.6428571428571429</v>
      </c>
      <c r="AA121" s="837">
        <v>0.16</v>
      </c>
      <c r="AB121" s="838">
        <v>0.16</v>
      </c>
      <c r="AC121" s="838">
        <v>0.16</v>
      </c>
      <c r="AD121" s="866">
        <f>+'Anexo 5.2-A. Gastos Rev'!CD117</f>
        <v>297960000</v>
      </c>
      <c r="AE121" s="934"/>
      <c r="AF121" s="866">
        <v>152745333</v>
      </c>
      <c r="AG121" s="985">
        <f>+'Anexo 5.2-A. Gastos Rev'!CE117</f>
        <v>297960000</v>
      </c>
      <c r="AH121" s="837">
        <f t="shared" si="79"/>
        <v>1</v>
      </c>
      <c r="AI121" s="1003">
        <f>+'Anexo 5.2-A. Gastos Rev'!CF117</f>
        <v>297960000</v>
      </c>
      <c r="AJ121" s="1003">
        <f>+'Anexo 5.2-A. Gastos Rev'!CG117</f>
        <v>297960000</v>
      </c>
      <c r="AK121" s="1004">
        <f t="shared" si="50"/>
        <v>1</v>
      </c>
      <c r="AL121" s="1003">
        <f t="shared" si="51"/>
        <v>0</v>
      </c>
      <c r="AM121" s="1003"/>
      <c r="AN121" s="1003"/>
      <c r="AO121" s="843" t="e">
        <f t="shared" si="55"/>
        <v>#DIV/0!</v>
      </c>
      <c r="AP121" s="862"/>
      <c r="AQ121" s="866">
        <f t="shared" si="53"/>
        <v>450705333</v>
      </c>
      <c r="AR121" s="867" t="e">
        <f t="shared" si="56"/>
        <v>#DIV/0!</v>
      </c>
      <c r="AS121" s="936"/>
      <c r="AT121" s="494"/>
      <c r="AU121" s="493" t="s">
        <v>116</v>
      </c>
      <c r="AV121" s="846" t="s">
        <v>2277</v>
      </c>
      <c r="AW121" s="847"/>
      <c r="AX121" s="847"/>
      <c r="BB121" s="1037"/>
      <c r="BD121" s="1037"/>
    </row>
    <row r="122" spans="1:56" ht="25.5" x14ac:dyDescent="0.25">
      <c r="A122" s="827" t="s">
        <v>2441</v>
      </c>
      <c r="B122" s="893" t="s">
        <v>2442</v>
      </c>
      <c r="C122" s="828">
        <v>1</v>
      </c>
      <c r="D122" s="828">
        <v>1</v>
      </c>
      <c r="E122" s="828">
        <v>1</v>
      </c>
      <c r="F122" s="828"/>
      <c r="G122" s="828">
        <v>1</v>
      </c>
      <c r="H122" s="828">
        <v>1</v>
      </c>
      <c r="I122" s="828">
        <v>1</v>
      </c>
      <c r="J122" s="828"/>
      <c r="K122" s="838">
        <f t="shared" si="84"/>
        <v>1</v>
      </c>
      <c r="L122" s="830">
        <f t="shared" si="85"/>
        <v>1</v>
      </c>
      <c r="M122" s="830">
        <f t="shared" si="85"/>
        <v>1</v>
      </c>
      <c r="N122" s="945"/>
      <c r="O122" s="945"/>
      <c r="P122" s="831"/>
      <c r="Q122" s="832"/>
      <c r="R122" s="518"/>
      <c r="S122" s="945"/>
      <c r="T122" s="945"/>
      <c r="U122" s="945"/>
      <c r="V122" s="833"/>
      <c r="W122" s="945"/>
      <c r="X122" s="945">
        <v>4</v>
      </c>
      <c r="Y122" s="835">
        <f t="shared" si="86"/>
        <v>3</v>
      </c>
      <c r="Z122" s="836">
        <f t="shared" si="87"/>
        <v>0.75</v>
      </c>
      <c r="AA122" s="837">
        <v>0.17</v>
      </c>
      <c r="AB122" s="838">
        <v>0.17</v>
      </c>
      <c r="AC122" s="838">
        <v>0.17</v>
      </c>
      <c r="AD122" s="866">
        <f>+'Anexo 5.2-A. Gastos Rev'!CD118</f>
        <v>50000000</v>
      </c>
      <c r="AE122" s="934"/>
      <c r="AF122" s="866">
        <v>80000000</v>
      </c>
      <c r="AG122" s="985">
        <f>+'Anexo 5.2-A. Gastos Rev'!CE118</f>
        <v>50000000</v>
      </c>
      <c r="AH122" s="837">
        <f t="shared" si="79"/>
        <v>1</v>
      </c>
      <c r="AI122" s="1003">
        <f>+'Anexo 5.2-A. Gastos Rev'!CF118</f>
        <v>50000000</v>
      </c>
      <c r="AJ122" s="1003">
        <f>+'Anexo 5.2-A. Gastos Rev'!CG118</f>
        <v>0</v>
      </c>
      <c r="AK122" s="1004">
        <f t="shared" si="50"/>
        <v>1</v>
      </c>
      <c r="AL122" s="1003">
        <f t="shared" si="51"/>
        <v>0</v>
      </c>
      <c r="AM122" s="1003"/>
      <c r="AN122" s="1003"/>
      <c r="AO122" s="843" t="e">
        <f t="shared" si="55"/>
        <v>#DIV/0!</v>
      </c>
      <c r="AP122" s="862"/>
      <c r="AQ122" s="866">
        <f t="shared" si="53"/>
        <v>130000000</v>
      </c>
      <c r="AR122" s="867" t="e">
        <f t="shared" si="56"/>
        <v>#DIV/0!</v>
      </c>
      <c r="AS122" s="936"/>
      <c r="AT122" s="494"/>
      <c r="AU122" s="493" t="s">
        <v>115</v>
      </c>
      <c r="AV122" s="846" t="s">
        <v>2277</v>
      </c>
      <c r="AW122" s="847"/>
      <c r="AX122" s="847"/>
      <c r="BB122" s="1037"/>
      <c r="BD122" s="1037"/>
    </row>
    <row r="123" spans="1:56" ht="25.5" x14ac:dyDescent="0.25">
      <c r="A123" s="786" t="s">
        <v>2238</v>
      </c>
      <c r="B123" s="787"/>
      <c r="C123" s="788"/>
      <c r="D123" s="788"/>
      <c r="E123" s="788"/>
      <c r="F123" s="788"/>
      <c r="G123" s="788"/>
      <c r="H123" s="788"/>
      <c r="I123" s="788"/>
      <c r="J123" s="788"/>
      <c r="K123" s="795">
        <f>+(K124*AA124)</f>
        <v>0.7</v>
      </c>
      <c r="L123" s="795">
        <f>+(L124*AB124)</f>
        <v>1</v>
      </c>
      <c r="M123" s="795">
        <f>+(M124*AC124)</f>
        <v>1</v>
      </c>
      <c r="N123" s="943"/>
      <c r="O123" s="943"/>
      <c r="P123" s="790"/>
      <c r="Q123" s="791"/>
      <c r="R123" s="791"/>
      <c r="S123" s="943"/>
      <c r="T123" s="943"/>
      <c r="U123" s="943"/>
      <c r="V123" s="914"/>
      <c r="W123" s="943"/>
      <c r="X123" s="943"/>
      <c r="Y123" s="791"/>
      <c r="Z123" s="793">
        <f>+(Z124*AA124)+(Z129*AA129)+(Z138*AA138)+(Z154*AA154)</f>
        <v>2.7234600000000002</v>
      </c>
      <c r="AA123" s="794">
        <v>0.13</v>
      </c>
      <c r="AB123" s="795">
        <v>0.13</v>
      </c>
      <c r="AC123" s="795">
        <v>0.13</v>
      </c>
      <c r="AD123" s="915">
        <f>+'Anexo 5.2-A. Gastos Rev'!CD119</f>
        <v>315000000</v>
      </c>
      <c r="AE123" s="931">
        <f>+AE124</f>
        <v>430113600</v>
      </c>
      <c r="AF123" s="931">
        <f>+AF124</f>
        <v>199996800</v>
      </c>
      <c r="AG123" s="916">
        <f>+'Anexo 5.2-A. Gastos Rev'!CE119</f>
        <v>314695768</v>
      </c>
      <c r="AH123" s="794">
        <f t="shared" si="79"/>
        <v>0.99903418412698408</v>
      </c>
      <c r="AI123" s="915">
        <f>+'Anexo 5.2-A. Gastos Rev'!CF119</f>
        <v>314695768</v>
      </c>
      <c r="AJ123" s="915">
        <f>+'Anexo 5.2-A. Gastos Rev'!CG119</f>
        <v>200800000</v>
      </c>
      <c r="AK123" s="978">
        <f t="shared" si="50"/>
        <v>1</v>
      </c>
      <c r="AL123" s="915">
        <f t="shared" si="51"/>
        <v>0</v>
      </c>
      <c r="AM123" s="915">
        <f t="shared" ref="AM123:AN123" si="88">+AM124</f>
        <v>0</v>
      </c>
      <c r="AN123" s="915">
        <f t="shared" si="88"/>
        <v>0</v>
      </c>
      <c r="AO123" s="799" t="e">
        <f t="shared" si="55"/>
        <v>#DIV/0!</v>
      </c>
      <c r="AP123" s="916">
        <f>+AP124+AP129+AP138+AP154</f>
        <v>56507445712</v>
      </c>
      <c r="AQ123" s="917">
        <f t="shared" si="53"/>
        <v>944806168</v>
      </c>
      <c r="AR123" s="1210">
        <f t="shared" si="56"/>
        <v>1.6720029654417021E-2</v>
      </c>
      <c r="AS123" s="919"/>
      <c r="AT123" s="802" t="s">
        <v>88</v>
      </c>
      <c r="AU123" s="803"/>
      <c r="AV123" s="804"/>
      <c r="AW123" s="805"/>
      <c r="AX123" s="805"/>
      <c r="BB123" s="1037"/>
      <c r="BD123" s="1037"/>
    </row>
    <row r="124" spans="1:56" ht="25.5" x14ac:dyDescent="0.25">
      <c r="A124" s="806" t="s">
        <v>2174</v>
      </c>
      <c r="B124" s="807"/>
      <c r="C124" s="808"/>
      <c r="D124" s="808"/>
      <c r="E124" s="808"/>
      <c r="F124" s="808"/>
      <c r="G124" s="808"/>
      <c r="H124" s="808"/>
      <c r="I124" s="808"/>
      <c r="J124" s="808"/>
      <c r="K124" s="809">
        <f>+(K125*AA125)+(K126*AA126)+(K127*AA127)</f>
        <v>0.7</v>
      </c>
      <c r="L124" s="810">
        <f>+(L125*AB125)+(L126*AB126)+(L127*AB127)</f>
        <v>1</v>
      </c>
      <c r="M124" s="810">
        <f>+(M125*AC125)+(M126*AC126)+(M127*AC127)</f>
        <v>1</v>
      </c>
      <c r="N124" s="944"/>
      <c r="O124" s="944"/>
      <c r="P124" s="811"/>
      <c r="Q124" s="812"/>
      <c r="R124" s="812"/>
      <c r="S124" s="944"/>
      <c r="T124" s="944"/>
      <c r="U124" s="944"/>
      <c r="V124" s="855"/>
      <c r="W124" s="944"/>
      <c r="X124" s="944"/>
      <c r="Y124" s="812"/>
      <c r="Z124" s="814">
        <f>+(Z125*AA125)+(Z126*AA126)+(Z127*AA127)</f>
        <v>0.60000000000000009</v>
      </c>
      <c r="AA124" s="815">
        <v>1</v>
      </c>
      <c r="AB124" s="809">
        <v>1</v>
      </c>
      <c r="AC124" s="809">
        <v>1</v>
      </c>
      <c r="AD124" s="856">
        <f>+'Anexo 5.2-A. Gastos Rev'!CD120</f>
        <v>315000000</v>
      </c>
      <c r="AE124" s="933">
        <v>430113600</v>
      </c>
      <c r="AF124" s="856">
        <f>+SUM(AF125:AF127)</f>
        <v>199996800</v>
      </c>
      <c r="AG124" s="858">
        <f>+'Anexo 5.2-A. Gastos Rev'!CE120</f>
        <v>314695768</v>
      </c>
      <c r="AH124" s="815">
        <f t="shared" si="79"/>
        <v>0.99903418412698408</v>
      </c>
      <c r="AI124" s="856">
        <f>+'Anexo 5.2-A. Gastos Rev'!CF120</f>
        <v>314695768</v>
      </c>
      <c r="AJ124" s="856">
        <f>+'Anexo 5.2-A. Gastos Rev'!CG120</f>
        <v>200800000</v>
      </c>
      <c r="AK124" s="979">
        <f t="shared" si="50"/>
        <v>1</v>
      </c>
      <c r="AL124" s="856">
        <f t="shared" si="51"/>
        <v>0</v>
      </c>
      <c r="AM124" s="856">
        <f t="shared" ref="AM124:AN124" si="89">+SUM(AM125:AM127)</f>
        <v>0</v>
      </c>
      <c r="AN124" s="856">
        <f t="shared" si="89"/>
        <v>0</v>
      </c>
      <c r="AO124" s="820" t="e">
        <f t="shared" si="55"/>
        <v>#DIV/0!</v>
      </c>
      <c r="AP124" s="858">
        <v>2400000000</v>
      </c>
      <c r="AQ124" s="860">
        <f t="shared" si="53"/>
        <v>944806168</v>
      </c>
      <c r="AR124" s="1211">
        <f>+(AQ124/AP124)</f>
        <v>0.39366923666666664</v>
      </c>
      <c r="AS124" s="861"/>
      <c r="AT124" s="823"/>
      <c r="AU124" s="824"/>
      <c r="AV124" s="825"/>
      <c r="AW124" s="826"/>
      <c r="AX124" s="826"/>
      <c r="BB124" s="1037"/>
      <c r="BD124" s="1037"/>
    </row>
    <row r="125" spans="1:56" ht="89.25" x14ac:dyDescent="0.25">
      <c r="A125" s="827" t="s">
        <v>2443</v>
      </c>
      <c r="B125" s="893" t="s">
        <v>2444</v>
      </c>
      <c r="C125" s="828">
        <v>21</v>
      </c>
      <c r="D125" s="828">
        <v>21</v>
      </c>
      <c r="E125" s="828">
        <v>21</v>
      </c>
      <c r="F125" s="828"/>
      <c r="G125" s="828">
        <v>21</v>
      </c>
      <c r="H125" s="828">
        <v>21</v>
      </c>
      <c r="I125" s="828">
        <v>21</v>
      </c>
      <c r="J125" s="828"/>
      <c r="K125" s="838">
        <f>IF((G125+J125)/C125&gt;=100%,100%,(G125+J125)/C125)</f>
        <v>1</v>
      </c>
      <c r="L125" s="830">
        <f>IF(H125/D125&gt;=100%,100%,H125/D125)</f>
        <v>1</v>
      </c>
      <c r="M125" s="830">
        <f>IF(I125/E125&gt;=100%,100%,I125/E125)</f>
        <v>1</v>
      </c>
      <c r="N125" s="945" t="s">
        <v>2595</v>
      </c>
      <c r="O125" s="945"/>
      <c r="P125" s="831" t="s">
        <v>2525</v>
      </c>
      <c r="Q125" s="832" t="s">
        <v>2586</v>
      </c>
      <c r="R125" s="832"/>
      <c r="S125" s="945"/>
      <c r="T125" s="945"/>
      <c r="U125" s="945"/>
      <c r="V125" s="833"/>
      <c r="W125" s="945"/>
      <c r="X125" s="945">
        <v>84</v>
      </c>
      <c r="Y125" s="835">
        <f>SUM(G125:I125)</f>
        <v>63</v>
      </c>
      <c r="Z125" s="836">
        <f t="shared" si="78"/>
        <v>0.75</v>
      </c>
      <c r="AA125" s="837">
        <v>0.4</v>
      </c>
      <c r="AB125" s="838">
        <v>0.5</v>
      </c>
      <c r="AC125" s="838">
        <v>0.5</v>
      </c>
      <c r="AD125" s="866">
        <f>+'Anexo 5.2-A. Gastos Rev'!CD121</f>
        <v>0</v>
      </c>
      <c r="AE125" s="934"/>
      <c r="AF125" s="866">
        <v>100000000</v>
      </c>
      <c r="AG125" s="985">
        <f>+'Anexo 5.2-A. Gastos Rev'!CE121</f>
        <v>0</v>
      </c>
      <c r="AH125" s="837" t="e">
        <f t="shared" si="79"/>
        <v>#DIV/0!</v>
      </c>
      <c r="AI125" s="1003">
        <f>+'Anexo 5.2-A. Gastos Rev'!CF121</f>
        <v>0</v>
      </c>
      <c r="AJ125" s="1003">
        <f>+'Anexo 5.2-A. Gastos Rev'!CG121</f>
        <v>0</v>
      </c>
      <c r="AK125" s="1004" t="e">
        <f t="shared" si="50"/>
        <v>#DIV/0!</v>
      </c>
      <c r="AL125" s="1003">
        <f t="shared" si="51"/>
        <v>0</v>
      </c>
      <c r="AM125" s="1003"/>
      <c r="AN125" s="1003"/>
      <c r="AO125" s="843" t="e">
        <f t="shared" si="55"/>
        <v>#DIV/0!</v>
      </c>
      <c r="AP125" s="862"/>
      <c r="AQ125" s="866">
        <f t="shared" si="53"/>
        <v>100000000</v>
      </c>
      <c r="AR125" s="867" t="e">
        <f t="shared" si="56"/>
        <v>#DIV/0!</v>
      </c>
      <c r="AS125" s="936"/>
      <c r="AT125" s="494"/>
      <c r="AU125" s="493" t="s">
        <v>113</v>
      </c>
      <c r="AV125" s="846" t="s">
        <v>2445</v>
      </c>
      <c r="AW125" s="847"/>
      <c r="AX125" s="847"/>
      <c r="BB125" s="1037"/>
      <c r="BD125" s="1037"/>
    </row>
    <row r="126" spans="1:56" ht="63.75" x14ac:dyDescent="0.25">
      <c r="A126" s="827" t="s">
        <v>2446</v>
      </c>
      <c r="B126" s="893" t="s">
        <v>2447</v>
      </c>
      <c r="C126" s="828">
        <v>0</v>
      </c>
      <c r="D126" s="828">
        <v>0</v>
      </c>
      <c r="E126" s="828">
        <v>1</v>
      </c>
      <c r="F126" s="828"/>
      <c r="G126" s="828">
        <v>0</v>
      </c>
      <c r="H126" s="828">
        <v>0</v>
      </c>
      <c r="I126" s="828">
        <v>0</v>
      </c>
      <c r="J126" s="828"/>
      <c r="K126" s="838">
        <v>0</v>
      </c>
      <c r="L126" s="830">
        <v>0</v>
      </c>
      <c r="M126" s="830">
        <v>0</v>
      </c>
      <c r="N126" s="945"/>
      <c r="O126" s="945"/>
      <c r="P126" s="831"/>
      <c r="Q126" s="832"/>
      <c r="R126" s="518"/>
      <c r="S126" s="945"/>
      <c r="T126" s="945"/>
      <c r="U126" s="945"/>
      <c r="V126" s="833"/>
      <c r="W126" s="945"/>
      <c r="X126" s="945">
        <v>1</v>
      </c>
      <c r="Y126" s="835">
        <f>SUM(G126:I126)</f>
        <v>0</v>
      </c>
      <c r="Z126" s="836">
        <f t="shared" si="78"/>
        <v>0</v>
      </c>
      <c r="AA126" s="837">
        <v>0.3</v>
      </c>
      <c r="AB126" s="838">
        <v>0</v>
      </c>
      <c r="AC126" s="838">
        <v>0</v>
      </c>
      <c r="AD126" s="866">
        <f>+'Anexo 5.2-A. Gastos Rev'!CD122</f>
        <v>315000000</v>
      </c>
      <c r="AE126" s="934"/>
      <c r="AF126" s="866">
        <v>0</v>
      </c>
      <c r="AG126" s="985">
        <f>+'Anexo 5.2-A. Gastos Rev'!CE122</f>
        <v>314695768</v>
      </c>
      <c r="AH126" s="837">
        <f t="shared" si="79"/>
        <v>0.99903418412698408</v>
      </c>
      <c r="AI126" s="1003">
        <f>+'Anexo 5.2-A. Gastos Rev'!CF122</f>
        <v>314695768</v>
      </c>
      <c r="AJ126" s="1003">
        <f>+'Anexo 5.2-A. Gastos Rev'!CG122</f>
        <v>200800000</v>
      </c>
      <c r="AK126" s="1004">
        <f t="shared" si="50"/>
        <v>1</v>
      </c>
      <c r="AL126" s="1003">
        <f t="shared" si="51"/>
        <v>0</v>
      </c>
      <c r="AM126" s="1003"/>
      <c r="AN126" s="1003"/>
      <c r="AO126" s="843" t="e">
        <f t="shared" si="55"/>
        <v>#DIV/0!</v>
      </c>
      <c r="AP126" s="862"/>
      <c r="AQ126" s="866">
        <f t="shared" si="53"/>
        <v>314695768</v>
      </c>
      <c r="AR126" s="867" t="e">
        <f t="shared" si="56"/>
        <v>#DIV/0!</v>
      </c>
      <c r="AS126" s="936"/>
      <c r="AT126" s="494"/>
      <c r="AU126" s="493" t="s">
        <v>81</v>
      </c>
      <c r="AV126" s="846" t="s">
        <v>2287</v>
      </c>
      <c r="AW126" s="847"/>
      <c r="AX126" s="847"/>
      <c r="BB126" s="1037"/>
      <c r="BD126" s="1037"/>
    </row>
    <row r="127" spans="1:56" ht="89.25" x14ac:dyDescent="0.25">
      <c r="A127" s="827" t="s">
        <v>2448</v>
      </c>
      <c r="B127" s="893" t="s">
        <v>2449</v>
      </c>
      <c r="C127" s="828">
        <v>1</v>
      </c>
      <c r="D127" s="828">
        <v>2</v>
      </c>
      <c r="E127" s="828">
        <v>1</v>
      </c>
      <c r="F127" s="828"/>
      <c r="G127" s="828">
        <v>1</v>
      </c>
      <c r="H127" s="828">
        <v>2</v>
      </c>
      <c r="I127" s="828">
        <v>1</v>
      </c>
      <c r="J127" s="828"/>
      <c r="K127" s="838">
        <f>IF((G127+J127)/C127&gt;=100%,100%,(G127+J127)/C127)</f>
        <v>1</v>
      </c>
      <c r="L127" s="830">
        <f>IF(H127/D127&gt;=100%,100%,H127/D127)</f>
        <v>1</v>
      </c>
      <c r="M127" s="830">
        <f>IF(I127/E127&gt;=100%,100%,I127/E127)</f>
        <v>1</v>
      </c>
      <c r="N127" s="945" t="s">
        <v>2595</v>
      </c>
      <c r="O127" s="945"/>
      <c r="P127" s="831" t="s">
        <v>2525</v>
      </c>
      <c r="Q127" s="832" t="s">
        <v>2586</v>
      </c>
      <c r="R127" s="518"/>
      <c r="S127" s="1031" t="s">
        <v>2230</v>
      </c>
      <c r="T127" s="945"/>
      <c r="U127" s="945"/>
      <c r="V127" s="833"/>
      <c r="W127" s="945"/>
      <c r="X127" s="945">
        <v>1</v>
      </c>
      <c r="Y127" s="835">
        <f>SUM(G127:I127)</f>
        <v>4</v>
      </c>
      <c r="Z127" s="951">
        <f t="shared" si="78"/>
        <v>1</v>
      </c>
      <c r="AA127" s="837">
        <v>0.3</v>
      </c>
      <c r="AB127" s="838">
        <v>0.5</v>
      </c>
      <c r="AC127" s="838">
        <v>0.5</v>
      </c>
      <c r="AD127" s="866">
        <f>+'Anexo 5.2-A. Gastos Rev'!CD123</f>
        <v>0</v>
      </c>
      <c r="AE127" s="934"/>
      <c r="AF127" s="866">
        <v>99996800</v>
      </c>
      <c r="AG127" s="985">
        <f>+'Anexo 5.2-A. Gastos Rev'!CE123</f>
        <v>0</v>
      </c>
      <c r="AH127" s="837" t="e">
        <f t="shared" si="79"/>
        <v>#DIV/0!</v>
      </c>
      <c r="AI127" s="1003">
        <f>+'Anexo 5.2-A. Gastos Rev'!CF123</f>
        <v>0</v>
      </c>
      <c r="AJ127" s="1003">
        <f>+'Anexo 5.2-A. Gastos Rev'!CG123</f>
        <v>0</v>
      </c>
      <c r="AK127" s="1004" t="e">
        <f t="shared" si="50"/>
        <v>#DIV/0!</v>
      </c>
      <c r="AL127" s="1003">
        <f t="shared" si="51"/>
        <v>0</v>
      </c>
      <c r="AM127" s="1003"/>
      <c r="AN127" s="1003"/>
      <c r="AO127" s="843" t="e">
        <f t="shared" si="55"/>
        <v>#DIV/0!</v>
      </c>
      <c r="AP127" s="862"/>
      <c r="AQ127" s="866">
        <f t="shared" si="53"/>
        <v>99996800</v>
      </c>
      <c r="AR127" s="867" t="e">
        <f t="shared" si="56"/>
        <v>#DIV/0!</v>
      </c>
      <c r="AS127" s="936"/>
      <c r="AT127" s="494"/>
      <c r="AU127" s="493" t="s">
        <v>113</v>
      </c>
      <c r="AV127" s="846" t="s">
        <v>2277</v>
      </c>
      <c r="AW127" s="847"/>
      <c r="AX127" s="847"/>
      <c r="BB127" s="1037"/>
      <c r="BD127" s="1037"/>
    </row>
    <row r="128" spans="1:56" ht="38.25" x14ac:dyDescent="0.25">
      <c r="A128" s="786" t="s">
        <v>2239</v>
      </c>
      <c r="B128" s="787"/>
      <c r="C128" s="788"/>
      <c r="D128" s="788"/>
      <c r="E128" s="788"/>
      <c r="F128" s="788"/>
      <c r="G128" s="788"/>
      <c r="H128" s="788"/>
      <c r="I128" s="788"/>
      <c r="J128" s="788"/>
      <c r="K128" s="795">
        <f>+(K129*AA129)</f>
        <v>1</v>
      </c>
      <c r="L128" s="795">
        <f>+(L129*AB129)</f>
        <v>1</v>
      </c>
      <c r="M128" s="795">
        <f>+(M129*AC129)</f>
        <v>1</v>
      </c>
      <c r="N128" s="943"/>
      <c r="O128" s="943"/>
      <c r="P128" s="790"/>
      <c r="Q128" s="791"/>
      <c r="R128" s="791"/>
      <c r="S128" s="943"/>
      <c r="T128" s="943"/>
      <c r="U128" s="943"/>
      <c r="V128" s="914"/>
      <c r="W128" s="943"/>
      <c r="X128" s="943"/>
      <c r="Y128" s="791"/>
      <c r="Z128" s="793">
        <f>+(Z129*AA129)+(Z134*AA134)+(Z143*AA143)+(Z159*AA159)</f>
        <v>1.0577399999999999</v>
      </c>
      <c r="AA128" s="794">
        <v>0.13</v>
      </c>
      <c r="AB128" s="795">
        <v>0.13</v>
      </c>
      <c r="AC128" s="795">
        <v>0.13</v>
      </c>
      <c r="AD128" s="915">
        <f>+'Anexo 5.2-A. Gastos Rev'!CD124</f>
        <v>652465999.95999074</v>
      </c>
      <c r="AE128" s="931">
        <f>+AE129</f>
        <v>585636452.91999996</v>
      </c>
      <c r="AF128" s="915">
        <f>+AF129</f>
        <v>675012368.20000005</v>
      </c>
      <c r="AG128" s="916">
        <f>+'Anexo 5.2-A. Gastos Rev'!CE124</f>
        <v>612296173.83999991</v>
      </c>
      <c r="AH128" s="794">
        <f t="shared" si="79"/>
        <v>0.93843384004307651</v>
      </c>
      <c r="AI128" s="915">
        <f>+'Anexo 5.2-A. Gastos Rev'!CF124</f>
        <v>587698174</v>
      </c>
      <c r="AJ128" s="915">
        <f>+'Anexo 5.2-A. Gastos Rev'!CG124</f>
        <v>495165366</v>
      </c>
      <c r="AK128" s="978">
        <f t="shared" si="50"/>
        <v>0.95982663147193259</v>
      </c>
      <c r="AL128" s="915">
        <f t="shared" si="51"/>
        <v>24597999.839999914</v>
      </c>
      <c r="AM128" s="915">
        <f t="shared" ref="AM128:AN128" si="90">+AM129</f>
        <v>0</v>
      </c>
      <c r="AN128" s="915">
        <f t="shared" si="90"/>
        <v>0</v>
      </c>
      <c r="AO128" s="799" t="e">
        <f t="shared" si="55"/>
        <v>#DIV/0!</v>
      </c>
      <c r="AP128" s="916">
        <f>+AP129+AP134+AP143+AP159</f>
        <v>3264539241</v>
      </c>
      <c r="AQ128" s="917">
        <f t="shared" si="53"/>
        <v>1872944994.9599998</v>
      </c>
      <c r="AR128" s="932">
        <f t="shared" si="56"/>
        <v>0.57372414809333883</v>
      </c>
      <c r="AS128" s="919"/>
      <c r="AT128" s="802" t="s">
        <v>2498</v>
      </c>
      <c r="AU128" s="803"/>
      <c r="AV128" s="804"/>
      <c r="AW128" s="805"/>
      <c r="AX128" s="805"/>
      <c r="BB128" s="1037"/>
      <c r="BD128" s="1037"/>
    </row>
    <row r="129" spans="1:56" ht="32.25" customHeight="1" x14ac:dyDescent="0.25">
      <c r="A129" s="806" t="s">
        <v>2175</v>
      </c>
      <c r="B129" s="807"/>
      <c r="C129" s="808"/>
      <c r="D129" s="808"/>
      <c r="E129" s="808"/>
      <c r="F129" s="808"/>
      <c r="G129" s="808"/>
      <c r="H129" s="808"/>
      <c r="I129" s="808"/>
      <c r="J129" s="808"/>
      <c r="K129" s="809">
        <f>+(K130*AA130)+(K131*AA131)+(K132*AA132)+(K133*AA133)+(K134*AA134)+(K135*AA135)+(K136*AA136)</f>
        <v>1</v>
      </c>
      <c r="L129" s="810">
        <f>+(L130*AB130)+(L131*AB131)+(L132*AB132)+(L133*AB133)+(L134*AB134)+(L135*AB135)+(L136*AB136)</f>
        <v>1</v>
      </c>
      <c r="M129" s="810">
        <f>+(M130*AC130)+(M131*AC131)+(M132*AC132)+(M133*AC133)+(M134*AC134)+(M135*AC135)+(M136*AC136)</f>
        <v>1</v>
      </c>
      <c r="N129" s="944"/>
      <c r="O129" s="944"/>
      <c r="P129" s="811"/>
      <c r="Q129" s="812"/>
      <c r="R129" s="812"/>
      <c r="S129" s="944"/>
      <c r="T129" s="944"/>
      <c r="U129" s="944"/>
      <c r="V129" s="855"/>
      <c r="W129" s="944"/>
      <c r="X129" s="944"/>
      <c r="Y129" s="952"/>
      <c r="Z129" s="814">
        <f>+(Z130*AA130)+(Z131*AA131)+(Z132*AA132)+(Z133*AA133)+(Z134*AA134)+(Z135*AA135)+(Z136*AA136)</f>
        <v>0.76249999999999996</v>
      </c>
      <c r="AA129" s="953">
        <v>1</v>
      </c>
      <c r="AB129" s="954">
        <v>1</v>
      </c>
      <c r="AC129" s="954">
        <v>1</v>
      </c>
      <c r="AD129" s="856">
        <f>+'Anexo 5.2-A. Gastos Rev'!CD125</f>
        <v>652465999.95999074</v>
      </c>
      <c r="AE129" s="933">
        <v>585636452.91999996</v>
      </c>
      <c r="AF129" s="856">
        <f>+SUM(AF130:AF136)</f>
        <v>675012368.20000005</v>
      </c>
      <c r="AG129" s="858">
        <f>+'Anexo 5.2-A. Gastos Rev'!CE125</f>
        <v>612296173.83999991</v>
      </c>
      <c r="AH129" s="818">
        <f t="shared" si="79"/>
        <v>0.93843384004307651</v>
      </c>
      <c r="AI129" s="856">
        <f>+'Anexo 5.2-A. Gastos Rev'!CF125</f>
        <v>587698174</v>
      </c>
      <c r="AJ129" s="856">
        <f>+'Anexo 5.2-A. Gastos Rev'!CG125</f>
        <v>495165366</v>
      </c>
      <c r="AK129" s="979">
        <f t="shared" si="50"/>
        <v>0.95982663147193259</v>
      </c>
      <c r="AL129" s="856">
        <f t="shared" si="51"/>
        <v>24597999.839999914</v>
      </c>
      <c r="AM129" s="856">
        <f t="shared" ref="AM129:AN129" si="91">+SUM(AM130:AM136)</f>
        <v>0</v>
      </c>
      <c r="AN129" s="856">
        <f t="shared" si="91"/>
        <v>0</v>
      </c>
      <c r="AO129" s="820" t="e">
        <f t="shared" si="55"/>
        <v>#DIV/0!</v>
      </c>
      <c r="AP129" s="858">
        <v>3264539241</v>
      </c>
      <c r="AQ129" s="860">
        <f t="shared" si="53"/>
        <v>1872944994.9599998</v>
      </c>
      <c r="AR129" s="881">
        <f t="shared" si="56"/>
        <v>0.57372414809333883</v>
      </c>
      <c r="AS129" s="861"/>
      <c r="AT129" s="823"/>
      <c r="AU129" s="824"/>
      <c r="AV129" s="825"/>
      <c r="AW129" s="826"/>
      <c r="AX129" s="826"/>
      <c r="BB129" s="1037"/>
      <c r="BD129" s="1037"/>
    </row>
    <row r="130" spans="1:56" ht="94.5" x14ac:dyDescent="0.25">
      <c r="A130" s="827" t="s">
        <v>2450</v>
      </c>
      <c r="B130" s="893" t="s">
        <v>2451</v>
      </c>
      <c r="C130" s="828">
        <v>1</v>
      </c>
      <c r="D130" s="828">
        <v>1</v>
      </c>
      <c r="E130" s="828">
        <v>1</v>
      </c>
      <c r="F130" s="828"/>
      <c r="G130" s="828">
        <v>1</v>
      </c>
      <c r="H130" s="828">
        <v>1</v>
      </c>
      <c r="I130" s="828">
        <v>1</v>
      </c>
      <c r="J130" s="828"/>
      <c r="K130" s="838">
        <f t="shared" ref="K130:K136" si="92">IF((G130+J130)/C130&gt;=100%,100%,(G130+J130)/C130)</f>
        <v>1</v>
      </c>
      <c r="L130" s="830">
        <f t="shared" ref="L130:M136" si="93">IF(H130/D130&gt;=100%,100%,H130/D130)</f>
        <v>1</v>
      </c>
      <c r="M130" s="830">
        <f t="shared" si="93"/>
        <v>1</v>
      </c>
      <c r="N130" s="1033" t="s">
        <v>2596</v>
      </c>
      <c r="O130" s="945"/>
      <c r="P130" s="832" t="s">
        <v>75</v>
      </c>
      <c r="Q130" s="832"/>
      <c r="R130" s="832" t="s">
        <v>2557</v>
      </c>
      <c r="S130" s="945" t="s">
        <v>2597</v>
      </c>
      <c r="T130" s="945"/>
      <c r="U130" s="945"/>
      <c r="V130" s="833"/>
      <c r="W130" s="945"/>
      <c r="X130" s="945">
        <v>4</v>
      </c>
      <c r="Y130" s="835">
        <f t="shared" ref="Y130:Y136" si="94">SUM(G130:I130)</f>
        <v>3</v>
      </c>
      <c r="Z130" s="836">
        <f t="shared" ref="Z130:Z159" si="95">IF(Y130/X130&gt;=100%,100%,Y130/X130)</f>
        <v>0.75</v>
      </c>
      <c r="AA130" s="837">
        <v>0.14000000000000001</v>
      </c>
      <c r="AB130" s="838">
        <v>0.14000000000000001</v>
      </c>
      <c r="AC130" s="838">
        <v>0.14000000000000001</v>
      </c>
      <c r="AD130" s="866">
        <f>+'Anexo 5.2-A. Gastos Rev'!CD126</f>
        <v>150000000</v>
      </c>
      <c r="AE130" s="934"/>
      <c r="AF130" s="866">
        <v>143214337.03999999</v>
      </c>
      <c r="AG130" s="985">
        <f>+'Anexo 5.2-A. Gastos Rev'!CE126</f>
        <v>150000000</v>
      </c>
      <c r="AH130" s="837">
        <f t="shared" si="79"/>
        <v>1</v>
      </c>
      <c r="AI130" s="1003">
        <f>+'Anexo 5.2-A. Gastos Rev'!CF126</f>
        <v>150000000</v>
      </c>
      <c r="AJ130" s="1003">
        <f>+'Anexo 5.2-A. Gastos Rev'!CG126</f>
        <v>150000000</v>
      </c>
      <c r="AK130" s="1004">
        <f t="shared" si="50"/>
        <v>1</v>
      </c>
      <c r="AL130" s="1003">
        <f t="shared" si="51"/>
        <v>0</v>
      </c>
      <c r="AM130" s="1003"/>
      <c r="AN130" s="1003"/>
      <c r="AO130" s="843" t="e">
        <f t="shared" si="55"/>
        <v>#DIV/0!</v>
      </c>
      <c r="AP130" s="862"/>
      <c r="AQ130" s="866">
        <f t="shared" si="53"/>
        <v>293214337.03999996</v>
      </c>
      <c r="AR130" s="867" t="e">
        <f t="shared" si="56"/>
        <v>#DIV/0!</v>
      </c>
      <c r="AS130" s="936"/>
      <c r="AT130" s="494"/>
      <c r="AU130" s="493" t="s">
        <v>98</v>
      </c>
      <c r="AV130" s="846" t="s">
        <v>2277</v>
      </c>
      <c r="AW130" s="847"/>
      <c r="AX130" s="847"/>
      <c r="BB130" s="1037"/>
      <c r="BD130" s="1037"/>
    </row>
    <row r="131" spans="1:56" ht="41.25" customHeight="1" x14ac:dyDescent="0.25">
      <c r="A131" s="827" t="s">
        <v>2452</v>
      </c>
      <c r="B131" s="893" t="s">
        <v>2453</v>
      </c>
      <c r="C131" s="828">
        <v>1</v>
      </c>
      <c r="D131" s="828">
        <v>1</v>
      </c>
      <c r="E131" s="828">
        <v>1</v>
      </c>
      <c r="F131" s="828"/>
      <c r="G131" s="828">
        <v>1</v>
      </c>
      <c r="H131" s="828">
        <v>1</v>
      </c>
      <c r="I131" s="828">
        <v>1</v>
      </c>
      <c r="J131" s="828"/>
      <c r="K131" s="838">
        <f t="shared" si="92"/>
        <v>1</v>
      </c>
      <c r="L131" s="830">
        <f t="shared" si="93"/>
        <v>1</v>
      </c>
      <c r="M131" s="830">
        <f t="shared" si="93"/>
        <v>1</v>
      </c>
      <c r="N131" s="945" t="s">
        <v>2598</v>
      </c>
      <c r="O131" s="945"/>
      <c r="P131" s="832" t="s">
        <v>75</v>
      </c>
      <c r="Q131" s="832"/>
      <c r="R131" s="832" t="s">
        <v>2557</v>
      </c>
      <c r="S131" s="945" t="s">
        <v>2599</v>
      </c>
      <c r="T131" s="945"/>
      <c r="U131" s="945"/>
      <c r="V131" s="833"/>
      <c r="W131" s="945"/>
      <c r="X131" s="945">
        <v>4</v>
      </c>
      <c r="Y131" s="835">
        <f t="shared" si="94"/>
        <v>3</v>
      </c>
      <c r="Z131" s="836">
        <f t="shared" si="95"/>
        <v>0.75</v>
      </c>
      <c r="AA131" s="837">
        <v>0.15</v>
      </c>
      <c r="AB131" s="838">
        <v>0.15</v>
      </c>
      <c r="AC131" s="838">
        <v>0.15</v>
      </c>
      <c r="AD131" s="866">
        <f>+'Anexo 5.2-A. Gastos Rev'!CD127</f>
        <v>150000000</v>
      </c>
      <c r="AE131" s="934"/>
      <c r="AF131" s="866">
        <v>179905338.31999999</v>
      </c>
      <c r="AG131" s="985">
        <f>+'Anexo 5.2-A. Gastos Rev'!CE127</f>
        <v>150000000</v>
      </c>
      <c r="AH131" s="837">
        <f t="shared" si="79"/>
        <v>1</v>
      </c>
      <c r="AI131" s="1003">
        <f>+'Anexo 5.2-A. Gastos Rev'!CF127</f>
        <v>150000000</v>
      </c>
      <c r="AJ131" s="1003">
        <f>+'Anexo 5.2-A. Gastos Rev'!CG127</f>
        <v>77010639.310000002</v>
      </c>
      <c r="AK131" s="1004">
        <f t="shared" si="50"/>
        <v>1</v>
      </c>
      <c r="AL131" s="1003">
        <f t="shared" si="51"/>
        <v>0</v>
      </c>
      <c r="AM131" s="1003"/>
      <c r="AN131" s="1003"/>
      <c r="AO131" s="843" t="e">
        <f t="shared" si="55"/>
        <v>#DIV/0!</v>
      </c>
      <c r="AP131" s="862"/>
      <c r="AQ131" s="866">
        <f t="shared" si="53"/>
        <v>329905338.31999999</v>
      </c>
      <c r="AR131" s="867" t="e">
        <f t="shared" si="56"/>
        <v>#DIV/0!</v>
      </c>
      <c r="AS131" s="936"/>
      <c r="AT131" s="494"/>
      <c r="AU131" s="493" t="s">
        <v>98</v>
      </c>
      <c r="AV131" s="846" t="s">
        <v>2277</v>
      </c>
      <c r="AW131" s="847"/>
      <c r="AX131" s="847"/>
      <c r="BB131" s="1037"/>
      <c r="BD131" s="1037"/>
    </row>
    <row r="132" spans="1:56" ht="32.25" customHeight="1" x14ac:dyDescent="0.25">
      <c r="A132" s="827" t="s">
        <v>2454</v>
      </c>
      <c r="B132" s="893" t="s">
        <v>2455</v>
      </c>
      <c r="C132" s="828">
        <v>1</v>
      </c>
      <c r="D132" s="828">
        <v>3</v>
      </c>
      <c r="E132" s="828">
        <v>1</v>
      </c>
      <c r="F132" s="828"/>
      <c r="G132" s="828">
        <v>1</v>
      </c>
      <c r="H132" s="828">
        <v>3</v>
      </c>
      <c r="I132" s="828">
        <v>1</v>
      </c>
      <c r="J132" s="828"/>
      <c r="K132" s="838">
        <f t="shared" si="92"/>
        <v>1</v>
      </c>
      <c r="L132" s="830">
        <f t="shared" si="93"/>
        <v>1</v>
      </c>
      <c r="M132" s="830">
        <f t="shared" si="93"/>
        <v>1</v>
      </c>
      <c r="N132" s="945" t="s">
        <v>2600</v>
      </c>
      <c r="O132" s="945"/>
      <c r="P132" s="832" t="s">
        <v>75</v>
      </c>
      <c r="Q132" s="832"/>
      <c r="R132" s="832" t="s">
        <v>2557</v>
      </c>
      <c r="S132" s="945" t="s">
        <v>2601</v>
      </c>
      <c r="T132" s="945"/>
      <c r="U132" s="945"/>
      <c r="V132" s="833"/>
      <c r="W132" s="945"/>
      <c r="X132" s="945">
        <v>6</v>
      </c>
      <c r="Y132" s="835">
        <f t="shared" si="94"/>
        <v>5</v>
      </c>
      <c r="Z132" s="951">
        <f t="shared" si="95"/>
        <v>0.83333333333333337</v>
      </c>
      <c r="AA132" s="838">
        <v>0.15</v>
      </c>
      <c r="AB132" s="838">
        <v>0.15</v>
      </c>
      <c r="AC132" s="838">
        <v>0.15</v>
      </c>
      <c r="AD132" s="866">
        <f>+'Anexo 5.2-A. Gastos Rev'!CD128</f>
        <v>270000000</v>
      </c>
      <c r="AE132" s="934"/>
      <c r="AF132" s="866">
        <v>291012627.86000001</v>
      </c>
      <c r="AG132" s="985">
        <f>+'Anexo 5.2-A. Gastos Rev'!CE128</f>
        <v>253555336.73000002</v>
      </c>
      <c r="AH132" s="837">
        <f t="shared" si="79"/>
        <v>0.93909383974074079</v>
      </c>
      <c r="AI132" s="1003">
        <f>+'Anexo 5.2-A. Gastos Rev'!CF128</f>
        <v>235113920.08999997</v>
      </c>
      <c r="AJ132" s="1003">
        <f>+'Anexo 5.2-A. Gastos Rev'!CG128</f>
        <v>235113920.08999997</v>
      </c>
      <c r="AK132" s="1004">
        <f t="shared" si="50"/>
        <v>0.92726867090304033</v>
      </c>
      <c r="AL132" s="1003">
        <f t="shared" si="51"/>
        <v>18441416.640000045</v>
      </c>
      <c r="AM132" s="1003"/>
      <c r="AN132" s="1003"/>
      <c r="AO132" s="843" t="e">
        <f t="shared" si="55"/>
        <v>#DIV/0!</v>
      </c>
      <c r="AP132" s="862"/>
      <c r="AQ132" s="866">
        <f t="shared" si="53"/>
        <v>544567964.59000003</v>
      </c>
      <c r="AR132" s="867" t="e">
        <f t="shared" si="56"/>
        <v>#DIV/0!</v>
      </c>
      <c r="AS132" s="936"/>
      <c r="AT132" s="494"/>
      <c r="AU132" s="493" t="s">
        <v>98</v>
      </c>
      <c r="AV132" s="846" t="s">
        <v>2277</v>
      </c>
      <c r="AW132" s="847"/>
      <c r="AX132" s="847"/>
      <c r="BB132" s="1037"/>
      <c r="BD132" s="1037"/>
    </row>
    <row r="133" spans="1:56" ht="52.5" customHeight="1" x14ac:dyDescent="0.25">
      <c r="A133" s="827" t="s">
        <v>2456</v>
      </c>
      <c r="B133" s="893" t="s">
        <v>2457</v>
      </c>
      <c r="C133" s="828">
        <v>1</v>
      </c>
      <c r="D133" s="828">
        <v>1</v>
      </c>
      <c r="E133" s="828">
        <v>1</v>
      </c>
      <c r="F133" s="828"/>
      <c r="G133" s="828">
        <v>1</v>
      </c>
      <c r="H133" s="828">
        <v>1</v>
      </c>
      <c r="I133" s="828">
        <v>1</v>
      </c>
      <c r="J133" s="828"/>
      <c r="K133" s="838">
        <f t="shared" si="92"/>
        <v>1</v>
      </c>
      <c r="L133" s="830">
        <f t="shared" si="93"/>
        <v>1</v>
      </c>
      <c r="M133" s="830">
        <f t="shared" si="93"/>
        <v>1</v>
      </c>
      <c r="N133" s="945" t="s">
        <v>2602</v>
      </c>
      <c r="O133" s="945"/>
      <c r="P133" s="832" t="s">
        <v>75</v>
      </c>
      <c r="Q133" s="832"/>
      <c r="R133" s="832" t="s">
        <v>2557</v>
      </c>
      <c r="S133" s="945" t="s">
        <v>2603</v>
      </c>
      <c r="T133" s="945"/>
      <c r="U133" s="945"/>
      <c r="V133" s="833"/>
      <c r="W133" s="945"/>
      <c r="X133" s="945">
        <v>4</v>
      </c>
      <c r="Y133" s="835">
        <f t="shared" si="94"/>
        <v>3</v>
      </c>
      <c r="Z133" s="951">
        <f t="shared" si="95"/>
        <v>0.75</v>
      </c>
      <c r="AA133" s="838">
        <v>0.14000000000000001</v>
      </c>
      <c r="AB133" s="921">
        <v>0.14000000000000001</v>
      </c>
      <c r="AC133" s="921">
        <v>0.14000000000000001</v>
      </c>
      <c r="AD133" s="866">
        <f>+'Anexo 5.2-A. Gastos Rev'!CD129</f>
        <v>34904528.780000001</v>
      </c>
      <c r="AE133" s="934"/>
      <c r="AF133" s="866">
        <v>12457130</v>
      </c>
      <c r="AG133" s="985">
        <f>+'Anexo 5.2-A. Gastos Rev'!CE129</f>
        <v>34904528.780000001</v>
      </c>
      <c r="AH133" s="837">
        <f t="shared" si="79"/>
        <v>1</v>
      </c>
      <c r="AI133" s="1003">
        <f>+'Anexo 5.2-A. Gastos Rev'!CF129</f>
        <v>34904528.780000001</v>
      </c>
      <c r="AJ133" s="1003">
        <f>+'Anexo 5.2-A. Gastos Rev'!CG129</f>
        <v>31731389.800000001</v>
      </c>
      <c r="AK133" s="1004">
        <f t="shared" si="50"/>
        <v>1</v>
      </c>
      <c r="AL133" s="1003">
        <f t="shared" si="51"/>
        <v>0</v>
      </c>
      <c r="AM133" s="1003"/>
      <c r="AN133" s="1003"/>
      <c r="AO133" s="843" t="e">
        <f t="shared" si="55"/>
        <v>#DIV/0!</v>
      </c>
      <c r="AP133" s="862"/>
      <c r="AQ133" s="866">
        <f t="shared" si="53"/>
        <v>47361658.780000001</v>
      </c>
      <c r="AR133" s="867" t="e">
        <f t="shared" si="56"/>
        <v>#DIV/0!</v>
      </c>
      <c r="AS133" s="936"/>
      <c r="AT133" s="494"/>
      <c r="AU133" s="493" t="s">
        <v>98</v>
      </c>
      <c r="AV133" s="846" t="s">
        <v>2277</v>
      </c>
      <c r="AW133" s="847"/>
      <c r="AX133" s="847"/>
      <c r="BB133" s="1037"/>
      <c r="BD133" s="1037"/>
    </row>
    <row r="134" spans="1:56" ht="30" customHeight="1" thickBot="1" x14ac:dyDescent="0.3">
      <c r="A134" s="827" t="s">
        <v>2458</v>
      </c>
      <c r="B134" s="893" t="s">
        <v>2451</v>
      </c>
      <c r="C134" s="828">
        <v>1</v>
      </c>
      <c r="D134" s="828">
        <v>1</v>
      </c>
      <c r="E134" s="828">
        <v>1</v>
      </c>
      <c r="F134" s="828"/>
      <c r="G134" s="828">
        <v>1</v>
      </c>
      <c r="H134" s="828">
        <v>1</v>
      </c>
      <c r="I134" s="828">
        <v>1</v>
      </c>
      <c r="J134" s="828"/>
      <c r="K134" s="838">
        <f t="shared" si="92"/>
        <v>1</v>
      </c>
      <c r="L134" s="830">
        <f t="shared" si="93"/>
        <v>1</v>
      </c>
      <c r="M134" s="830">
        <f t="shared" si="93"/>
        <v>1</v>
      </c>
      <c r="N134" s="945"/>
      <c r="O134" s="945"/>
      <c r="P134" s="950"/>
      <c r="Q134" s="832"/>
      <c r="R134" s="518"/>
      <c r="S134" s="945"/>
      <c r="T134" s="945"/>
      <c r="U134" s="945"/>
      <c r="V134" s="833"/>
      <c r="W134" s="945"/>
      <c r="X134" s="945">
        <v>4</v>
      </c>
      <c r="Y134" s="835">
        <f t="shared" si="94"/>
        <v>3</v>
      </c>
      <c r="Z134" s="951">
        <f t="shared" si="95"/>
        <v>0.75</v>
      </c>
      <c r="AA134" s="838">
        <v>0.14000000000000001</v>
      </c>
      <c r="AB134" s="921">
        <v>0.14000000000000001</v>
      </c>
      <c r="AC134" s="921">
        <v>0.14000000000000001</v>
      </c>
      <c r="AD134" s="866">
        <f>+'Anexo 5.2-A. Gastos Rev'!CD130</f>
        <v>16370308.33</v>
      </c>
      <c r="AE134" s="934"/>
      <c r="AF134" s="866">
        <v>0</v>
      </c>
      <c r="AG134" s="985">
        <f>+'Anexo 5.2-A. Gastos Rev'!CE130</f>
        <v>16370308.33</v>
      </c>
      <c r="AH134" s="837">
        <f t="shared" si="79"/>
        <v>1</v>
      </c>
      <c r="AI134" s="1003">
        <f>+'Anexo 5.2-A. Gastos Rev'!CF130</f>
        <v>16370308.33</v>
      </c>
      <c r="AJ134" s="1003">
        <f>+'Anexo 5.2-A. Gastos Rev'!CG130</f>
        <v>0</v>
      </c>
      <c r="AK134" s="1004">
        <f t="shared" si="50"/>
        <v>1</v>
      </c>
      <c r="AL134" s="1003">
        <f t="shared" si="51"/>
        <v>0</v>
      </c>
      <c r="AM134" s="1003"/>
      <c r="AN134" s="1003"/>
      <c r="AO134" s="843" t="e">
        <f t="shared" si="55"/>
        <v>#DIV/0!</v>
      </c>
      <c r="AP134" s="862"/>
      <c r="AQ134" s="866">
        <f t="shared" si="53"/>
        <v>16370308.33</v>
      </c>
      <c r="AR134" s="867" t="e">
        <f t="shared" si="56"/>
        <v>#DIV/0!</v>
      </c>
      <c r="AS134" s="936"/>
      <c r="AT134" s="494"/>
      <c r="AU134" s="493" t="s">
        <v>98</v>
      </c>
      <c r="AV134" s="846" t="s">
        <v>2277</v>
      </c>
      <c r="AW134" s="847"/>
      <c r="AX134" s="847"/>
      <c r="BB134" s="1037"/>
      <c r="BD134" s="1037"/>
    </row>
    <row r="135" spans="1:56" ht="38.25" x14ac:dyDescent="0.25">
      <c r="A135" s="827" t="s">
        <v>2459</v>
      </c>
      <c r="B135" s="893" t="s">
        <v>2460</v>
      </c>
      <c r="C135" s="828">
        <v>1</v>
      </c>
      <c r="D135" s="828">
        <v>1</v>
      </c>
      <c r="E135" s="828">
        <v>1</v>
      </c>
      <c r="F135" s="828"/>
      <c r="G135" s="828">
        <v>1</v>
      </c>
      <c r="H135" s="828">
        <v>1</v>
      </c>
      <c r="I135" s="828">
        <v>1</v>
      </c>
      <c r="J135" s="828"/>
      <c r="K135" s="838">
        <f t="shared" si="92"/>
        <v>1</v>
      </c>
      <c r="L135" s="830">
        <f t="shared" si="93"/>
        <v>1</v>
      </c>
      <c r="M135" s="830">
        <f t="shared" si="93"/>
        <v>1</v>
      </c>
      <c r="N135" s="945" t="s">
        <v>2604</v>
      </c>
      <c r="O135" s="945"/>
      <c r="P135" s="832" t="s">
        <v>75</v>
      </c>
      <c r="Q135" s="832"/>
      <c r="R135" s="832" t="s">
        <v>2557</v>
      </c>
      <c r="S135" s="945" t="s">
        <v>2605</v>
      </c>
      <c r="T135" s="945"/>
      <c r="U135" s="945"/>
      <c r="V135" s="833"/>
      <c r="W135" s="945"/>
      <c r="X135" s="945">
        <v>4</v>
      </c>
      <c r="Y135" s="835">
        <f t="shared" si="94"/>
        <v>3</v>
      </c>
      <c r="Z135" s="951">
        <f t="shared" si="95"/>
        <v>0.75</v>
      </c>
      <c r="AA135" s="838">
        <v>0.14000000000000001</v>
      </c>
      <c r="AB135" s="838">
        <v>0.14000000000000001</v>
      </c>
      <c r="AC135" s="838">
        <v>0.14000000000000001</v>
      </c>
      <c r="AD135" s="866">
        <f>+'Anexo 5.2-A. Gastos Rev'!CD131</f>
        <v>7466000</v>
      </c>
      <c r="AE135" s="934"/>
      <c r="AF135" s="866">
        <v>1326846.24</v>
      </c>
      <c r="AG135" s="985">
        <f>+'Anexo 5.2-A. Gastos Rev'!CE131</f>
        <v>7466000</v>
      </c>
      <c r="AH135" s="837">
        <f t="shared" si="79"/>
        <v>1</v>
      </c>
      <c r="AI135" s="1003">
        <f>+'Anexo 5.2-A. Gastos Rev'!CF131</f>
        <v>1309416.8</v>
      </c>
      <c r="AJ135" s="1003">
        <f>+'Anexo 5.2-A. Gastos Rev'!CG131</f>
        <v>1309416.8</v>
      </c>
      <c r="AK135" s="1004">
        <f t="shared" si="50"/>
        <v>0.17538398071256364</v>
      </c>
      <c r="AL135" s="1003">
        <f t="shared" si="51"/>
        <v>6156583.2000000002</v>
      </c>
      <c r="AM135" s="1003"/>
      <c r="AN135" s="1003"/>
      <c r="AO135" s="843" t="e">
        <f t="shared" si="55"/>
        <v>#DIV/0!</v>
      </c>
      <c r="AP135" s="862"/>
      <c r="AQ135" s="866">
        <f t="shared" si="53"/>
        <v>8792846.2400000002</v>
      </c>
      <c r="AR135" s="867" t="e">
        <f t="shared" si="56"/>
        <v>#DIV/0!</v>
      </c>
      <c r="AS135" s="936"/>
      <c r="AT135" s="494"/>
      <c r="AU135" s="493" t="s">
        <v>108</v>
      </c>
      <c r="AV135" s="846" t="s">
        <v>2360</v>
      </c>
      <c r="AW135" s="847"/>
      <c r="AX135" s="847"/>
      <c r="BB135" s="1037"/>
      <c r="BD135" s="1037"/>
    </row>
    <row r="136" spans="1:56" ht="64.5" thickBot="1" x14ac:dyDescent="0.3">
      <c r="A136" s="827" t="s">
        <v>2461</v>
      </c>
      <c r="B136" s="893" t="s">
        <v>2449</v>
      </c>
      <c r="C136" s="828">
        <v>1</v>
      </c>
      <c r="D136" s="828">
        <v>1</v>
      </c>
      <c r="E136" s="828">
        <v>1</v>
      </c>
      <c r="F136" s="828"/>
      <c r="G136" s="828">
        <v>1</v>
      </c>
      <c r="H136" s="828">
        <v>1</v>
      </c>
      <c r="I136" s="828">
        <v>1</v>
      </c>
      <c r="J136" s="828"/>
      <c r="K136" s="838">
        <f t="shared" si="92"/>
        <v>1</v>
      </c>
      <c r="L136" s="830">
        <f t="shared" si="93"/>
        <v>1</v>
      </c>
      <c r="M136" s="830">
        <f t="shared" si="93"/>
        <v>1</v>
      </c>
      <c r="N136" s="945"/>
      <c r="O136" s="945"/>
      <c r="P136" s="950"/>
      <c r="Q136" s="832"/>
      <c r="R136" s="518"/>
      <c r="T136" s="945"/>
      <c r="U136" s="945"/>
      <c r="V136" s="833"/>
      <c r="W136" s="945"/>
      <c r="X136" s="945">
        <v>4</v>
      </c>
      <c r="Y136" s="878">
        <f t="shared" si="94"/>
        <v>3</v>
      </c>
      <c r="Z136" s="836">
        <f t="shared" si="95"/>
        <v>0.75</v>
      </c>
      <c r="AA136" s="955">
        <v>0.14000000000000001</v>
      </c>
      <c r="AB136" s="838">
        <v>0.14000000000000001</v>
      </c>
      <c r="AC136" s="838">
        <v>0.14000000000000001</v>
      </c>
      <c r="AD136" s="844">
        <f>+'Anexo 5.2-A. Gastos Rev'!CD132</f>
        <v>23725162.8499908</v>
      </c>
      <c r="AE136" s="934"/>
      <c r="AF136" s="866">
        <v>47096088.740000002</v>
      </c>
      <c r="AG136" s="985">
        <f>+'Anexo 5.2-A. Gastos Rev'!CE132</f>
        <v>0</v>
      </c>
      <c r="AH136" s="837">
        <f t="shared" ref="AH136:AH160" si="96">+AG136/AD136</f>
        <v>0</v>
      </c>
      <c r="AI136" s="1003">
        <f>+'Anexo 5.2-A. Gastos Rev'!CF132</f>
        <v>0</v>
      </c>
      <c r="AJ136" s="1003">
        <f>+'Anexo 5.2-A. Gastos Rev'!CG132</f>
        <v>0</v>
      </c>
      <c r="AK136" s="1004" t="e">
        <f t="shared" si="50"/>
        <v>#DIV/0!</v>
      </c>
      <c r="AL136" s="1003">
        <f t="shared" si="51"/>
        <v>0</v>
      </c>
      <c r="AM136" s="1003"/>
      <c r="AN136" s="1003"/>
      <c r="AO136" s="843" t="e">
        <f t="shared" si="55"/>
        <v>#DIV/0!</v>
      </c>
      <c r="AP136" s="862"/>
      <c r="AQ136" s="866">
        <f t="shared" si="53"/>
        <v>47096088.740000002</v>
      </c>
      <c r="AR136" s="867" t="e">
        <f t="shared" si="56"/>
        <v>#DIV/0!</v>
      </c>
      <c r="AS136" s="936"/>
      <c r="AT136" s="494"/>
      <c r="AU136" s="493" t="s">
        <v>98</v>
      </c>
      <c r="AV136" s="846" t="s">
        <v>2277</v>
      </c>
      <c r="AW136" s="847"/>
      <c r="AX136" s="847"/>
      <c r="BB136" s="1037"/>
      <c r="BD136" s="1037"/>
    </row>
    <row r="137" spans="1:56" ht="51" x14ac:dyDescent="0.25">
      <c r="A137" s="786" t="s">
        <v>2240</v>
      </c>
      <c r="B137" s="787"/>
      <c r="C137" s="788"/>
      <c r="D137" s="788"/>
      <c r="E137" s="788"/>
      <c r="F137" s="788"/>
      <c r="G137" s="788"/>
      <c r="H137" s="788"/>
      <c r="I137" s="788"/>
      <c r="J137" s="788"/>
      <c r="K137" s="795">
        <f>+(K138*AA138)</f>
        <v>0.76000000000000023</v>
      </c>
      <c r="L137" s="795">
        <f>+(L138*AB138)</f>
        <v>0.85000000000000009</v>
      </c>
      <c r="M137" s="795">
        <f>+(M138*AC138)</f>
        <v>0.99999999999999989</v>
      </c>
      <c r="N137" s="943"/>
      <c r="O137" s="943"/>
      <c r="P137" s="790"/>
      <c r="Q137" s="791"/>
      <c r="R137" s="791"/>
      <c r="S137" s="943"/>
      <c r="T137" s="943"/>
      <c r="U137" s="943"/>
      <c r="V137" s="914"/>
      <c r="W137" s="943"/>
      <c r="X137" s="943"/>
      <c r="Y137" s="791"/>
      <c r="Z137" s="793">
        <f>+(Z138*AA138)+(Z143*AA143)+(Z152*AA152)+(Z168*AA168)</f>
        <v>0.65369999999999995</v>
      </c>
      <c r="AA137" s="794">
        <v>0.12</v>
      </c>
      <c r="AB137" s="795">
        <v>0.12</v>
      </c>
      <c r="AC137" s="795">
        <v>0.12</v>
      </c>
      <c r="AD137" s="796">
        <f>+'Anexo 5.2-A. Gastos Rev'!CD133</f>
        <v>7295232859</v>
      </c>
      <c r="AE137" s="931">
        <f>+AE138</f>
        <v>3236166754.4000001</v>
      </c>
      <c r="AF137" s="915">
        <f>+AF138</f>
        <v>7993694137.2999992</v>
      </c>
      <c r="AG137" s="916">
        <f>+'Anexo 5.2-A. Gastos Rev'!CE133</f>
        <v>7281770775.8599997</v>
      </c>
      <c r="AH137" s="794">
        <f t="shared" si="96"/>
        <v>0.99815467396309465</v>
      </c>
      <c r="AI137" s="915">
        <f>+'Anexo 5.2-A. Gastos Rev'!CF133</f>
        <v>5235768421</v>
      </c>
      <c r="AJ137" s="915">
        <f>+'Anexo 5.2-A. Gastos Rev'!CG133</f>
        <v>4942005919</v>
      </c>
      <c r="AK137" s="978">
        <f t="shared" ref="AK137:AK160" si="97">+AI137/AG137</f>
        <v>0.71902406463510782</v>
      </c>
      <c r="AL137" s="915">
        <f t="shared" ref="AL137:AL160" si="98">+AG137-AI137</f>
        <v>2046002354.8599997</v>
      </c>
      <c r="AM137" s="915">
        <f t="shared" ref="AM137:AN137" si="99">+AM138</f>
        <v>0</v>
      </c>
      <c r="AN137" s="915">
        <f t="shared" si="99"/>
        <v>0</v>
      </c>
      <c r="AO137" s="799" t="e">
        <f t="shared" si="55"/>
        <v>#DIV/0!</v>
      </c>
      <c r="AP137" s="916">
        <f>+AP138+AP143+AP152+AP168</f>
        <v>39925890155</v>
      </c>
      <c r="AQ137" s="917">
        <f t="shared" ref="AQ137:AQ160" si="100">+AE137+AF137+AG137</f>
        <v>18511631667.559998</v>
      </c>
      <c r="AR137" s="932">
        <f t="shared" si="56"/>
        <v>0.46364981709097219</v>
      </c>
      <c r="AS137" s="919"/>
      <c r="AT137" s="802" t="s">
        <v>2499</v>
      </c>
      <c r="AU137" s="803"/>
      <c r="AV137" s="804"/>
      <c r="AW137" s="805"/>
      <c r="AX137" s="805"/>
      <c r="BB137" s="1037"/>
      <c r="BD137" s="1037"/>
    </row>
    <row r="138" spans="1:56" ht="29.25" customHeight="1" x14ac:dyDescent="0.25">
      <c r="A138" s="806" t="s">
        <v>2176</v>
      </c>
      <c r="B138" s="807"/>
      <c r="C138" s="808"/>
      <c r="D138" s="808"/>
      <c r="E138" s="808"/>
      <c r="F138" s="808"/>
      <c r="G138" s="808"/>
      <c r="H138" s="808"/>
      <c r="I138" s="808"/>
      <c r="J138" s="808"/>
      <c r="K138" s="809">
        <f>+(K139*AA139)+(K140*AA140)+(K141*AA141)+(K142*AA142)+(K143*AA143)+(K144*AA144)+(K145*AA145)+(K146*AA146)+(K147*AA147)+(K148*AA148)+(K149*AA149)+(K150*AA150)+(K151*AA151)+(K152*AA152)</f>
        <v>0.76000000000000023</v>
      </c>
      <c r="L138" s="810">
        <f>+(L139*AB139)+(L140*AB140)+(L141*AB141)+(L142*AB142)+(L143*AB143)+(L144*AB144)+(L145*AB145)+(L146*AB146)+(L147*AB147)+(L148*AB148)+(L149*AB149)+(L150*AB150)+(L151*AB151)+(L152*AB152)</f>
        <v>0.85000000000000009</v>
      </c>
      <c r="M138" s="810">
        <f>+(M139*AC139)+(M140*AC140)+(M141*AC141)+(M142*AC142)+(M143*AC143)+(M144*AC144)+(M145*AC145)+(M146*AC146)+(M147*AC147)+(M148*AC148)+(M149*AC149)+(M150*AC150)+(M151*AC151)+(M152*AC152)</f>
        <v>0.99999999999999989</v>
      </c>
      <c r="N138" s="944"/>
      <c r="O138" s="944"/>
      <c r="P138" s="811"/>
      <c r="Q138" s="812"/>
      <c r="R138" s="812"/>
      <c r="S138" s="944"/>
      <c r="T138" s="944"/>
      <c r="U138" s="944"/>
      <c r="V138" s="855"/>
      <c r="W138" s="944"/>
      <c r="X138" s="944"/>
      <c r="Y138" s="952"/>
      <c r="Z138" s="814">
        <f>+(Z139*AA139)+(Z140*AA140)+(Z141*AA141)+(Z142*AA142)+(Z143*AA143)+(Z144*AA144)+(Z145*AA145)+(Z146*AA146)+(Z147*AA147)+(Z148*AA148)+(Z149*AA149)+(Z150*AA150)+(Z151*AA151)+(Z152*AA152)</f>
        <v>0.56096000000000001</v>
      </c>
      <c r="AA138" s="953">
        <v>1</v>
      </c>
      <c r="AB138" s="954">
        <v>1</v>
      </c>
      <c r="AC138" s="954">
        <v>1</v>
      </c>
      <c r="AD138" s="886">
        <f>+'Anexo 5.2-A. Gastos Rev'!CD134</f>
        <v>7295232859</v>
      </c>
      <c r="AE138" s="933">
        <v>3236166754.4000001</v>
      </c>
      <c r="AF138" s="856">
        <f>+SUM(AF139:AF152)</f>
        <v>7993694137.2999992</v>
      </c>
      <c r="AG138" s="858">
        <f>+'Anexo 5.2-A. Gastos Rev'!CE134</f>
        <v>7281770775.8599997</v>
      </c>
      <c r="AH138" s="815">
        <f t="shared" si="96"/>
        <v>0.99815467396309465</v>
      </c>
      <c r="AI138" s="856">
        <f>+'Anexo 5.2-A. Gastos Rev'!CF134</f>
        <v>5235768421</v>
      </c>
      <c r="AJ138" s="856">
        <f>+'Anexo 5.2-A. Gastos Rev'!CG134</f>
        <v>4942005919</v>
      </c>
      <c r="AK138" s="979">
        <f t="shared" si="97"/>
        <v>0.71902406463510782</v>
      </c>
      <c r="AL138" s="856">
        <f t="shared" si="98"/>
        <v>2046002354.8599997</v>
      </c>
      <c r="AM138" s="856">
        <f t="shared" ref="AM138:AN138" si="101">+SUM(AM139:AM152)</f>
        <v>0</v>
      </c>
      <c r="AN138" s="856">
        <f t="shared" si="101"/>
        <v>0</v>
      </c>
      <c r="AO138" s="820" t="e">
        <f t="shared" si="55"/>
        <v>#DIV/0!</v>
      </c>
      <c r="AP138" s="858">
        <v>39925890155</v>
      </c>
      <c r="AQ138" s="860">
        <f t="shared" si="100"/>
        <v>18511631667.559998</v>
      </c>
      <c r="AR138" s="881">
        <f t="shared" si="56"/>
        <v>0.46364981709097219</v>
      </c>
      <c r="AS138" s="861"/>
      <c r="AT138" s="823"/>
      <c r="AU138" s="824"/>
      <c r="AV138" s="825"/>
      <c r="AW138" s="826"/>
      <c r="AX138" s="826"/>
      <c r="BB138" s="1037"/>
      <c r="BD138" s="1037"/>
    </row>
    <row r="139" spans="1:56" ht="63.75" customHeight="1" x14ac:dyDescent="0.25">
      <c r="A139" s="827" t="s">
        <v>2462</v>
      </c>
      <c r="B139" s="893" t="s">
        <v>2463</v>
      </c>
      <c r="C139" s="828">
        <v>25</v>
      </c>
      <c r="D139" s="828">
        <v>25</v>
      </c>
      <c r="E139" s="851">
        <v>0.25</v>
      </c>
      <c r="F139" s="851"/>
      <c r="G139" s="851">
        <v>25</v>
      </c>
      <c r="H139" s="851">
        <v>25</v>
      </c>
      <c r="I139" s="851">
        <v>0.25</v>
      </c>
      <c r="J139" s="828"/>
      <c r="K139" s="838">
        <f t="shared" ref="K139:K147" si="102">IF((G139+J139)/C139&gt;=100%,100%,(G139+J139)/C139)</f>
        <v>1</v>
      </c>
      <c r="L139" s="830">
        <f t="shared" ref="L139:M143" si="103">IF(H139/D139&gt;=100%,100%,H139/D139)</f>
        <v>1</v>
      </c>
      <c r="M139" s="830">
        <f t="shared" si="103"/>
        <v>1</v>
      </c>
      <c r="N139" s="945" t="s">
        <v>2606</v>
      </c>
      <c r="O139" s="945"/>
      <c r="P139" s="832" t="s">
        <v>75</v>
      </c>
      <c r="Q139" s="832"/>
      <c r="R139" s="518"/>
      <c r="S139" s="945" t="s">
        <v>2607</v>
      </c>
      <c r="T139" s="945"/>
      <c r="U139" s="945"/>
      <c r="V139" s="833"/>
      <c r="W139" s="945"/>
      <c r="X139" s="945">
        <v>100</v>
      </c>
      <c r="Y139" s="835">
        <f t="shared" ref="Y139:Y152" si="104">SUM(G139:I139)</f>
        <v>50.25</v>
      </c>
      <c r="Z139" s="836">
        <f t="shared" si="95"/>
        <v>0.50249999999999995</v>
      </c>
      <c r="AA139" s="837">
        <v>0.08</v>
      </c>
      <c r="AB139" s="838">
        <v>0.08</v>
      </c>
      <c r="AC139" s="838">
        <v>0.08</v>
      </c>
      <c r="AD139" s="866">
        <f>+'Anexo 5.2-A. Gastos Rev'!CD135</f>
        <v>1700000000</v>
      </c>
      <c r="AE139" s="934"/>
      <c r="AF139" s="866">
        <v>296015347.37</v>
      </c>
      <c r="AG139" s="985">
        <f>+'Anexo 5.2-A. Gastos Rev'!CE135</f>
        <v>1700000000</v>
      </c>
      <c r="AH139" s="837">
        <f t="shared" si="96"/>
        <v>1</v>
      </c>
      <c r="AI139" s="1003">
        <f>+'Anexo 5.2-A. Gastos Rev'!CF135</f>
        <v>970013139.47000003</v>
      </c>
      <c r="AJ139" s="1003">
        <f>+'Anexo 5.2-A. Gastos Rev'!CG135</f>
        <v>970013139.47000003</v>
      </c>
      <c r="AK139" s="1004">
        <f t="shared" si="97"/>
        <v>0.57059596439411764</v>
      </c>
      <c r="AL139" s="1003">
        <f t="shared" si="98"/>
        <v>729986860.52999997</v>
      </c>
      <c r="AM139" s="1003"/>
      <c r="AN139" s="1003"/>
      <c r="AO139" s="843" t="e">
        <f t="shared" si="55"/>
        <v>#DIV/0!</v>
      </c>
      <c r="AP139" s="862"/>
      <c r="AQ139" s="866">
        <f t="shared" si="100"/>
        <v>1996015347.3699999</v>
      </c>
      <c r="AR139" s="867" t="e">
        <f t="shared" si="56"/>
        <v>#DIV/0!</v>
      </c>
      <c r="AS139" s="936"/>
      <c r="AT139" s="494"/>
      <c r="AU139" s="493" t="s">
        <v>98</v>
      </c>
      <c r="AV139" s="846" t="s">
        <v>2277</v>
      </c>
      <c r="AW139" s="847"/>
      <c r="AX139" s="847"/>
      <c r="BB139" s="1037"/>
      <c r="BD139" s="1037"/>
    </row>
    <row r="140" spans="1:56" ht="38.25" x14ac:dyDescent="0.25">
      <c r="A140" s="827" t="s">
        <v>2464</v>
      </c>
      <c r="B140" s="893" t="s">
        <v>2465</v>
      </c>
      <c r="C140" s="828">
        <v>3</v>
      </c>
      <c r="D140" s="828">
        <v>3</v>
      </c>
      <c r="E140" s="828">
        <v>2</v>
      </c>
      <c r="F140" s="828"/>
      <c r="G140" s="828">
        <v>0</v>
      </c>
      <c r="H140" s="828">
        <v>3</v>
      </c>
      <c r="I140" s="828">
        <v>2</v>
      </c>
      <c r="J140" s="828"/>
      <c r="K140" s="838">
        <f t="shared" si="102"/>
        <v>0</v>
      </c>
      <c r="L140" s="830">
        <f t="shared" si="103"/>
        <v>1</v>
      </c>
      <c r="M140" s="830">
        <f t="shared" si="103"/>
        <v>1</v>
      </c>
      <c r="N140" s="945" t="s">
        <v>2608</v>
      </c>
      <c r="O140" s="945"/>
      <c r="P140" s="832" t="s">
        <v>75</v>
      </c>
      <c r="Q140" s="832"/>
      <c r="R140" s="832" t="s">
        <v>2557</v>
      </c>
      <c r="S140" s="945" t="s">
        <v>2609</v>
      </c>
      <c r="T140" s="945"/>
      <c r="U140" s="945"/>
      <c r="V140" s="833"/>
      <c r="W140" s="945"/>
      <c r="X140" s="945">
        <v>8</v>
      </c>
      <c r="Y140" s="835">
        <f t="shared" si="104"/>
        <v>5</v>
      </c>
      <c r="Z140" s="836">
        <f t="shared" si="95"/>
        <v>0.625</v>
      </c>
      <c r="AA140" s="837">
        <v>0.08</v>
      </c>
      <c r="AB140" s="838">
        <v>0.08</v>
      </c>
      <c r="AC140" s="838">
        <v>0.08</v>
      </c>
      <c r="AD140" s="866">
        <f>+'Anexo 5.2-A. Gastos Rev'!CD136</f>
        <v>112679883.27999997</v>
      </c>
      <c r="AE140" s="934"/>
      <c r="AF140" s="866">
        <v>274074869.75</v>
      </c>
      <c r="AG140" s="985">
        <f>+'Anexo 5.2-A. Gastos Rev'!CE136</f>
        <v>112679883.27999997</v>
      </c>
      <c r="AH140" s="837">
        <f t="shared" si="96"/>
        <v>1</v>
      </c>
      <c r="AI140" s="1003">
        <f>+'Anexo 5.2-A. Gastos Rev'!CF136</f>
        <v>17241251.239999998</v>
      </c>
      <c r="AJ140" s="1003">
        <f>+'Anexo 5.2-A. Gastos Rev'!CG136</f>
        <v>17241251.239999998</v>
      </c>
      <c r="AK140" s="1004">
        <f t="shared" si="97"/>
        <v>0.15301090787569374</v>
      </c>
      <c r="AL140" s="1003">
        <f t="shared" si="98"/>
        <v>95438632.039999977</v>
      </c>
      <c r="AM140" s="1003"/>
      <c r="AN140" s="1003"/>
      <c r="AO140" s="843" t="e">
        <f t="shared" si="55"/>
        <v>#DIV/0!</v>
      </c>
      <c r="AP140" s="862"/>
      <c r="AQ140" s="866">
        <f t="shared" si="100"/>
        <v>386754753.02999997</v>
      </c>
      <c r="AR140" s="867" t="e">
        <f t="shared" si="56"/>
        <v>#DIV/0!</v>
      </c>
      <c r="AS140" s="936"/>
      <c r="AT140" s="494"/>
      <c r="AU140" s="493" t="s">
        <v>98</v>
      </c>
      <c r="AV140" s="846" t="s">
        <v>2277</v>
      </c>
      <c r="AW140" s="847"/>
      <c r="AX140" s="847"/>
      <c r="BB140" s="1037"/>
      <c r="BD140" s="1037"/>
    </row>
    <row r="141" spans="1:56" ht="45.75" customHeight="1" thickBot="1" x14ac:dyDescent="0.3">
      <c r="A141" s="827" t="s">
        <v>2466</v>
      </c>
      <c r="B141" s="893" t="s">
        <v>2467</v>
      </c>
      <c r="C141" s="828">
        <v>3</v>
      </c>
      <c r="D141" s="828">
        <v>3</v>
      </c>
      <c r="E141" s="828">
        <v>3</v>
      </c>
      <c r="F141" s="828"/>
      <c r="G141" s="828">
        <v>3</v>
      </c>
      <c r="H141" s="828">
        <v>3</v>
      </c>
      <c r="I141" s="828">
        <v>3</v>
      </c>
      <c r="J141" s="828"/>
      <c r="K141" s="838">
        <f t="shared" si="102"/>
        <v>1</v>
      </c>
      <c r="L141" s="830">
        <f t="shared" si="103"/>
        <v>1</v>
      </c>
      <c r="M141" s="830">
        <f t="shared" si="103"/>
        <v>1</v>
      </c>
      <c r="N141" s="945"/>
      <c r="O141" s="945"/>
      <c r="P141" s="950"/>
      <c r="Q141" s="832"/>
      <c r="R141" s="518"/>
      <c r="S141" s="945"/>
      <c r="T141" s="945"/>
      <c r="U141" s="945"/>
      <c r="V141" s="833"/>
      <c r="W141" s="945"/>
      <c r="X141" s="945">
        <v>12</v>
      </c>
      <c r="Y141" s="835">
        <f t="shared" si="104"/>
        <v>9</v>
      </c>
      <c r="Z141" s="951">
        <f t="shared" si="95"/>
        <v>0.75</v>
      </c>
      <c r="AA141" s="838">
        <v>0.08</v>
      </c>
      <c r="AB141" s="838">
        <v>0.08</v>
      </c>
      <c r="AC141" s="838">
        <v>0.08</v>
      </c>
      <c r="AD141" s="866">
        <f>+'Anexo 5.2-A. Gastos Rev'!CD137</f>
        <v>100000000</v>
      </c>
      <c r="AE141" s="934"/>
      <c r="AF141" s="866">
        <v>0</v>
      </c>
      <c r="AG141" s="985">
        <f>+'Anexo 5.2-A. Gastos Rev'!CE137</f>
        <v>100000000</v>
      </c>
      <c r="AH141" s="837">
        <f t="shared" si="96"/>
        <v>1</v>
      </c>
      <c r="AI141" s="1003">
        <f>+'Anexo 5.2-A. Gastos Rev'!CF137</f>
        <v>0</v>
      </c>
      <c r="AJ141" s="1003">
        <f>+'Anexo 5.2-A. Gastos Rev'!CG137</f>
        <v>0</v>
      </c>
      <c r="AK141" s="1004">
        <f t="shared" si="97"/>
        <v>0</v>
      </c>
      <c r="AL141" s="1003">
        <f t="shared" si="98"/>
        <v>100000000</v>
      </c>
      <c r="AM141" s="1003"/>
      <c r="AN141" s="1003"/>
      <c r="AO141" s="843" t="e">
        <f t="shared" ref="AO141:AO160" si="105">+AN141/AM141</f>
        <v>#DIV/0!</v>
      </c>
      <c r="AP141" s="862"/>
      <c r="AQ141" s="866">
        <f t="shared" si="100"/>
        <v>100000000</v>
      </c>
      <c r="AR141" s="867" t="e">
        <f t="shared" ref="AR141:AR160" si="106">+(AQ141/AP141)</f>
        <v>#DIV/0!</v>
      </c>
      <c r="AS141" s="936"/>
      <c r="AT141" s="494"/>
      <c r="AU141" s="493" t="s">
        <v>111</v>
      </c>
      <c r="AV141" s="846" t="s">
        <v>2277</v>
      </c>
      <c r="AW141" s="847"/>
      <c r="AX141" s="847"/>
      <c r="BB141" s="1037"/>
      <c r="BD141" s="1037"/>
    </row>
    <row r="142" spans="1:56" ht="53.25" customHeight="1" thickBot="1" x14ac:dyDescent="0.3">
      <c r="A142" s="827" t="s">
        <v>2468</v>
      </c>
      <c r="B142" s="893" t="s">
        <v>2469</v>
      </c>
      <c r="C142" s="828">
        <v>25</v>
      </c>
      <c r="D142" s="828">
        <v>25</v>
      </c>
      <c r="E142" s="851">
        <v>0.25</v>
      </c>
      <c r="F142" s="851"/>
      <c r="G142" s="851">
        <v>25</v>
      </c>
      <c r="H142" s="851">
        <v>25</v>
      </c>
      <c r="I142" s="851">
        <v>0.25</v>
      </c>
      <c r="J142" s="828"/>
      <c r="K142" s="838">
        <f t="shared" si="102"/>
        <v>1</v>
      </c>
      <c r="L142" s="830">
        <f t="shared" si="103"/>
        <v>1</v>
      </c>
      <c r="M142" s="830">
        <f t="shared" si="103"/>
        <v>1</v>
      </c>
      <c r="N142" s="945"/>
      <c r="O142" s="945"/>
      <c r="P142" s="950"/>
      <c r="Q142" s="832"/>
      <c r="R142" s="518"/>
      <c r="S142" s="945"/>
      <c r="T142" s="945"/>
      <c r="U142" s="945"/>
      <c r="V142" s="833"/>
      <c r="W142" s="945"/>
      <c r="X142" s="945">
        <v>100</v>
      </c>
      <c r="Y142" s="835">
        <f t="shared" si="104"/>
        <v>50.25</v>
      </c>
      <c r="Z142" s="951">
        <f t="shared" si="95"/>
        <v>0.50249999999999995</v>
      </c>
      <c r="AA142" s="838">
        <v>0.08</v>
      </c>
      <c r="AB142" s="838">
        <v>0.08</v>
      </c>
      <c r="AC142" s="838">
        <v>0.08</v>
      </c>
      <c r="AD142" s="866">
        <f>+'Anexo 5.2-A. Gastos Rev'!CD138</f>
        <v>150000000</v>
      </c>
      <c r="AE142" s="934"/>
      <c r="AF142" s="866">
        <v>0</v>
      </c>
      <c r="AG142" s="985">
        <f>+'Anexo 5.2-A. Gastos Rev'!CE138</f>
        <v>150000000</v>
      </c>
      <c r="AH142" s="837">
        <f t="shared" si="96"/>
        <v>1</v>
      </c>
      <c r="AI142" s="1003">
        <f>+'Anexo 5.2-A. Gastos Rev'!CF138</f>
        <v>0</v>
      </c>
      <c r="AJ142" s="1003">
        <f>+'Anexo 5.2-A. Gastos Rev'!CG138</f>
        <v>0</v>
      </c>
      <c r="AK142" s="1004">
        <f t="shared" si="97"/>
        <v>0</v>
      </c>
      <c r="AL142" s="1003">
        <f t="shared" si="98"/>
        <v>150000000</v>
      </c>
      <c r="AM142" s="1003"/>
      <c r="AN142" s="1003"/>
      <c r="AO142" s="843" t="e">
        <f t="shared" si="105"/>
        <v>#DIV/0!</v>
      </c>
      <c r="AP142" s="862"/>
      <c r="AQ142" s="866">
        <f t="shared" si="100"/>
        <v>150000000</v>
      </c>
      <c r="AR142" s="867" t="e">
        <f t="shared" si="106"/>
        <v>#DIV/0!</v>
      </c>
      <c r="AS142" s="936"/>
      <c r="AT142" s="494"/>
      <c r="AU142" s="493" t="s">
        <v>112</v>
      </c>
      <c r="AV142" s="846" t="s">
        <v>2277</v>
      </c>
      <c r="AW142" s="847"/>
      <c r="AX142" s="847"/>
      <c r="BB142" s="1037"/>
      <c r="BD142" s="1037"/>
    </row>
    <row r="143" spans="1:56" ht="51" x14ac:dyDescent="0.25">
      <c r="A143" s="827" t="s">
        <v>2470</v>
      </c>
      <c r="B143" s="893" t="s">
        <v>2471</v>
      </c>
      <c r="C143" s="828">
        <v>25</v>
      </c>
      <c r="D143" s="828">
        <v>25</v>
      </c>
      <c r="E143" s="851">
        <v>0.3</v>
      </c>
      <c r="F143" s="851"/>
      <c r="G143" s="851">
        <v>25</v>
      </c>
      <c r="H143" s="851">
        <v>25</v>
      </c>
      <c r="I143" s="851">
        <v>0.3</v>
      </c>
      <c r="J143" s="828"/>
      <c r="K143" s="838">
        <f t="shared" si="102"/>
        <v>1</v>
      </c>
      <c r="L143" s="830">
        <f t="shared" si="103"/>
        <v>1</v>
      </c>
      <c r="M143" s="830">
        <f t="shared" si="103"/>
        <v>1</v>
      </c>
      <c r="N143" s="945" t="s">
        <v>2610</v>
      </c>
      <c r="O143" s="945"/>
      <c r="P143" s="832" t="s">
        <v>75</v>
      </c>
      <c r="Q143" s="832"/>
      <c r="R143" s="832" t="s">
        <v>2521</v>
      </c>
      <c r="S143" s="945" t="s">
        <v>2611</v>
      </c>
      <c r="T143" s="945"/>
      <c r="U143" s="945"/>
      <c r="V143" s="833"/>
      <c r="W143" s="945"/>
      <c r="X143" s="945">
        <v>100</v>
      </c>
      <c r="Y143" s="835">
        <f t="shared" si="104"/>
        <v>50.3</v>
      </c>
      <c r="Z143" s="951">
        <f t="shared" si="95"/>
        <v>0.503</v>
      </c>
      <c r="AA143" s="838">
        <v>0.08</v>
      </c>
      <c r="AB143" s="838">
        <v>0.08</v>
      </c>
      <c r="AC143" s="838">
        <v>0.16</v>
      </c>
      <c r="AD143" s="866">
        <f>+'Anexo 5.2-A. Gastos Rev'!CD139</f>
        <v>887320116.72000003</v>
      </c>
      <c r="AE143" s="934"/>
      <c r="AF143" s="866">
        <v>3390475534.9200001</v>
      </c>
      <c r="AG143" s="985">
        <f>+'Anexo 5.2-A. Gastos Rev'!CE139</f>
        <v>873858033.57999969</v>
      </c>
      <c r="AH143" s="837">
        <f t="shared" si="96"/>
        <v>0.98482838055135813</v>
      </c>
      <c r="AI143" s="1003">
        <f>+'Anexo 5.2-A. Gastos Rev'!CF139</f>
        <v>873858033.57999992</v>
      </c>
      <c r="AJ143" s="1003">
        <f>+'Anexo 5.2-A. Gastos Rev'!CG139</f>
        <v>865320163.93000007</v>
      </c>
      <c r="AK143" s="1004">
        <f t="shared" si="97"/>
        <v>1.0000000000000002</v>
      </c>
      <c r="AL143" s="1003">
        <f t="shared" si="98"/>
        <v>0</v>
      </c>
      <c r="AM143" s="1003"/>
      <c r="AN143" s="1003"/>
      <c r="AO143" s="843" t="e">
        <f t="shared" si="105"/>
        <v>#DIV/0!</v>
      </c>
      <c r="AP143" s="862"/>
      <c r="AQ143" s="866">
        <f t="shared" si="100"/>
        <v>4264333568.5</v>
      </c>
      <c r="AR143" s="867" t="e">
        <f t="shared" si="106"/>
        <v>#DIV/0!</v>
      </c>
      <c r="AS143" s="936"/>
      <c r="AT143" s="494"/>
      <c r="AU143" s="493" t="s">
        <v>110</v>
      </c>
      <c r="AV143" s="846" t="s">
        <v>2277</v>
      </c>
      <c r="AW143" s="847"/>
      <c r="AX143" s="847"/>
      <c r="BB143" s="1037"/>
      <c r="BD143" s="1037"/>
    </row>
    <row r="144" spans="1:56" ht="64.5" thickBot="1" x14ac:dyDescent="0.3">
      <c r="A144" s="827" t="s">
        <v>2472</v>
      </c>
      <c r="B144" s="893" t="s">
        <v>2473</v>
      </c>
      <c r="C144" s="828">
        <v>1</v>
      </c>
      <c r="D144" s="828">
        <v>1</v>
      </c>
      <c r="E144" s="851">
        <v>0</v>
      </c>
      <c r="F144" s="851"/>
      <c r="G144" s="851">
        <v>0</v>
      </c>
      <c r="H144" s="851">
        <v>0</v>
      </c>
      <c r="I144" s="851">
        <v>0</v>
      </c>
      <c r="J144" s="828"/>
      <c r="K144" s="838">
        <f t="shared" si="102"/>
        <v>0</v>
      </c>
      <c r="L144" s="830">
        <f>IF(H144/D144&gt;=100%,100%,H144/D144)</f>
        <v>0</v>
      </c>
      <c r="M144" s="830">
        <v>0</v>
      </c>
      <c r="N144" s="945"/>
      <c r="O144" s="945"/>
      <c r="P144" s="950"/>
      <c r="Q144" s="832"/>
      <c r="R144" s="518"/>
      <c r="S144" s="945"/>
      <c r="T144" s="945"/>
      <c r="U144" s="945"/>
      <c r="V144" s="833"/>
      <c r="W144" s="945"/>
      <c r="X144" s="945">
        <v>2</v>
      </c>
      <c r="Y144" s="835">
        <f t="shared" si="104"/>
        <v>0</v>
      </c>
      <c r="Z144" s="951">
        <f t="shared" si="95"/>
        <v>0</v>
      </c>
      <c r="AA144" s="838">
        <v>0.08</v>
      </c>
      <c r="AB144" s="838">
        <v>0.08</v>
      </c>
      <c r="AC144" s="838">
        <v>0</v>
      </c>
      <c r="AD144" s="866">
        <f>+'Anexo 5.2-A. Gastos Rev'!CD140</f>
        <v>0</v>
      </c>
      <c r="AE144" s="934"/>
      <c r="AF144" s="866">
        <v>0</v>
      </c>
      <c r="AG144" s="985">
        <f>+'Anexo 5.2-A. Gastos Rev'!CE140</f>
        <v>0</v>
      </c>
      <c r="AH144" s="837" t="e">
        <f t="shared" si="96"/>
        <v>#DIV/0!</v>
      </c>
      <c r="AI144" s="1003">
        <f>+'Anexo 5.2-A. Gastos Rev'!CF140</f>
        <v>0</v>
      </c>
      <c r="AJ144" s="1003">
        <f>+'Anexo 5.2-A. Gastos Rev'!CG140</f>
        <v>0</v>
      </c>
      <c r="AK144" s="1004" t="e">
        <f t="shared" si="97"/>
        <v>#DIV/0!</v>
      </c>
      <c r="AL144" s="1003">
        <f t="shared" si="98"/>
        <v>0</v>
      </c>
      <c r="AM144" s="1003"/>
      <c r="AN144" s="1003"/>
      <c r="AO144" s="843" t="e">
        <f t="shared" si="105"/>
        <v>#DIV/0!</v>
      </c>
      <c r="AP144" s="862"/>
      <c r="AQ144" s="866">
        <f t="shared" si="100"/>
        <v>0</v>
      </c>
      <c r="AR144" s="867" t="e">
        <f t="shared" si="106"/>
        <v>#DIV/0!</v>
      </c>
      <c r="AS144" s="936"/>
      <c r="AT144" s="494"/>
      <c r="AU144" s="493" t="s">
        <v>108</v>
      </c>
      <c r="AV144" s="846" t="s">
        <v>2277</v>
      </c>
      <c r="AW144" s="847"/>
      <c r="AX144" s="847"/>
      <c r="BB144" s="1037"/>
      <c r="BD144" s="1037"/>
    </row>
    <row r="145" spans="1:56" ht="51.75" thickBot="1" x14ac:dyDescent="0.3">
      <c r="A145" s="827" t="s">
        <v>2474</v>
      </c>
      <c r="B145" s="893" t="s">
        <v>2475</v>
      </c>
      <c r="C145" s="828">
        <v>20</v>
      </c>
      <c r="D145" s="828">
        <v>20</v>
      </c>
      <c r="E145" s="851">
        <v>0.4</v>
      </c>
      <c r="F145" s="851"/>
      <c r="G145" s="851">
        <v>0</v>
      </c>
      <c r="H145" s="851">
        <v>20</v>
      </c>
      <c r="I145" s="851">
        <v>0.4</v>
      </c>
      <c r="J145" s="828"/>
      <c r="K145" s="838">
        <f t="shared" si="102"/>
        <v>0</v>
      </c>
      <c r="L145" s="830">
        <f>IF(H145/D145&gt;=100%,100%,H145/D145)</f>
        <v>1</v>
      </c>
      <c r="M145" s="830">
        <f>IF(I145/E145&gt;=100%,100%,I145/E145)</f>
        <v>1</v>
      </c>
      <c r="N145" s="945"/>
      <c r="O145" s="945"/>
      <c r="P145" s="950"/>
      <c r="Q145" s="832"/>
      <c r="R145" s="518"/>
      <c r="S145" s="945"/>
      <c r="T145" s="945"/>
      <c r="U145" s="945"/>
      <c r="V145" s="833"/>
      <c r="W145" s="945"/>
      <c r="X145" s="945">
        <v>100</v>
      </c>
      <c r="Y145" s="835">
        <f t="shared" si="104"/>
        <v>20.399999999999999</v>
      </c>
      <c r="Z145" s="956">
        <f t="shared" si="95"/>
        <v>0.20399999999999999</v>
      </c>
      <c r="AA145" s="838">
        <v>0.08</v>
      </c>
      <c r="AB145" s="838">
        <v>0.08</v>
      </c>
      <c r="AC145" s="838">
        <v>0.08</v>
      </c>
      <c r="AD145" s="866">
        <f>+'Anexo 5.2-A. Gastos Rev'!CD141</f>
        <v>0</v>
      </c>
      <c r="AE145" s="934"/>
      <c r="AF145" s="866">
        <v>321388873.75999999</v>
      </c>
      <c r="AG145" s="985">
        <f>+'Anexo 5.2-A. Gastos Rev'!CE141</f>
        <v>0</v>
      </c>
      <c r="AH145" s="837" t="e">
        <f t="shared" si="96"/>
        <v>#DIV/0!</v>
      </c>
      <c r="AI145" s="1003">
        <f>+'Anexo 5.2-A. Gastos Rev'!CF141</f>
        <v>0</v>
      </c>
      <c r="AJ145" s="1003">
        <f>+'Anexo 5.2-A. Gastos Rev'!CG141</f>
        <v>0</v>
      </c>
      <c r="AK145" s="1004" t="e">
        <f t="shared" si="97"/>
        <v>#DIV/0!</v>
      </c>
      <c r="AL145" s="1003">
        <f t="shared" si="98"/>
        <v>0</v>
      </c>
      <c r="AM145" s="1003"/>
      <c r="AN145" s="1003"/>
      <c r="AO145" s="843" t="e">
        <f t="shared" si="105"/>
        <v>#DIV/0!</v>
      </c>
      <c r="AP145" s="862"/>
      <c r="AQ145" s="866">
        <f t="shared" si="100"/>
        <v>321388873.75999999</v>
      </c>
      <c r="AR145" s="867" t="e">
        <f t="shared" si="106"/>
        <v>#DIV/0!</v>
      </c>
      <c r="AS145" s="936"/>
      <c r="AT145" s="494"/>
      <c r="AU145" s="493" t="s">
        <v>98</v>
      </c>
      <c r="AV145" s="846" t="s">
        <v>2277</v>
      </c>
      <c r="AW145" s="847"/>
      <c r="AX145" s="847"/>
      <c r="BB145" s="1037"/>
      <c r="BD145" s="1037"/>
    </row>
    <row r="146" spans="1:56" ht="55.5" customHeight="1" thickBot="1" x14ac:dyDescent="0.3">
      <c r="A146" s="827" t="s">
        <v>2476</v>
      </c>
      <c r="B146" s="893" t="s">
        <v>2451</v>
      </c>
      <c r="C146" s="828">
        <v>1</v>
      </c>
      <c r="D146" s="828">
        <v>1</v>
      </c>
      <c r="E146" s="828">
        <v>0</v>
      </c>
      <c r="F146" s="828"/>
      <c r="G146" s="828">
        <v>1</v>
      </c>
      <c r="H146" s="828">
        <v>0</v>
      </c>
      <c r="I146" s="828">
        <v>0</v>
      </c>
      <c r="J146" s="828"/>
      <c r="K146" s="838">
        <f t="shared" si="102"/>
        <v>1</v>
      </c>
      <c r="L146" s="830">
        <f>IF(H146/D146&gt;=100%,100%,H146/D146)</f>
        <v>0</v>
      </c>
      <c r="M146" s="830">
        <v>0</v>
      </c>
      <c r="N146" s="945"/>
      <c r="O146" s="945"/>
      <c r="P146" s="950"/>
      <c r="Q146" s="832"/>
      <c r="R146" s="518"/>
      <c r="S146" s="945"/>
      <c r="T146" s="945"/>
      <c r="U146" s="945"/>
      <c r="V146" s="833"/>
      <c r="W146" s="945"/>
      <c r="X146" s="945">
        <v>2</v>
      </c>
      <c r="Y146" s="835">
        <f t="shared" si="104"/>
        <v>1</v>
      </c>
      <c r="Z146" s="951">
        <f t="shared" si="95"/>
        <v>0.5</v>
      </c>
      <c r="AA146" s="838">
        <v>7.0000000000000007E-2</v>
      </c>
      <c r="AB146" s="838">
        <v>7.0000000000000007E-2</v>
      </c>
      <c r="AC146" s="838">
        <v>0</v>
      </c>
      <c r="AD146" s="866">
        <f>+'Anexo 5.2-A. Gastos Rev'!CD142</f>
        <v>0</v>
      </c>
      <c r="AE146" s="934"/>
      <c r="AF146" s="866">
        <v>0</v>
      </c>
      <c r="AG146" s="985">
        <f>+'Anexo 5.2-A. Gastos Rev'!CE142</f>
        <v>0</v>
      </c>
      <c r="AH146" s="837" t="e">
        <f t="shared" si="96"/>
        <v>#DIV/0!</v>
      </c>
      <c r="AI146" s="1003">
        <f>+'Anexo 5.2-A. Gastos Rev'!CF142</f>
        <v>0</v>
      </c>
      <c r="AJ146" s="1003">
        <f>+'Anexo 5.2-A. Gastos Rev'!CG142</f>
        <v>0</v>
      </c>
      <c r="AK146" s="1004" t="e">
        <f t="shared" si="97"/>
        <v>#DIV/0!</v>
      </c>
      <c r="AL146" s="1003">
        <f t="shared" si="98"/>
        <v>0</v>
      </c>
      <c r="AM146" s="1003"/>
      <c r="AN146" s="1003"/>
      <c r="AO146" s="843" t="e">
        <f t="shared" si="105"/>
        <v>#DIV/0!</v>
      </c>
      <c r="AP146" s="862"/>
      <c r="AQ146" s="866">
        <f t="shared" si="100"/>
        <v>0</v>
      </c>
      <c r="AR146" s="867" t="e">
        <f t="shared" si="106"/>
        <v>#DIV/0!</v>
      </c>
      <c r="AS146" s="936"/>
      <c r="AT146" s="494"/>
      <c r="AU146" s="493" t="s">
        <v>114</v>
      </c>
      <c r="AV146" s="846" t="s">
        <v>2277</v>
      </c>
      <c r="AW146" s="847"/>
      <c r="AX146" s="847"/>
      <c r="BB146" s="1037"/>
      <c r="BD146" s="1037"/>
    </row>
    <row r="147" spans="1:56" ht="39" thickBot="1" x14ac:dyDescent="0.3">
      <c r="A147" s="827" t="s">
        <v>2477</v>
      </c>
      <c r="B147" s="893" t="s">
        <v>2478</v>
      </c>
      <c r="C147" s="828">
        <v>1</v>
      </c>
      <c r="D147" s="828">
        <v>1</v>
      </c>
      <c r="E147" s="828">
        <v>0</v>
      </c>
      <c r="F147" s="828"/>
      <c r="G147" s="828">
        <v>1</v>
      </c>
      <c r="H147" s="828">
        <v>1</v>
      </c>
      <c r="I147" s="828">
        <v>0</v>
      </c>
      <c r="J147" s="828"/>
      <c r="K147" s="838">
        <f t="shared" si="102"/>
        <v>1</v>
      </c>
      <c r="L147" s="830">
        <f>IF(H147/D147&gt;=100%,100%,H147/D147)</f>
        <v>1</v>
      </c>
      <c r="M147" s="830">
        <v>0</v>
      </c>
      <c r="N147" s="945"/>
      <c r="O147" s="945"/>
      <c r="P147" s="950"/>
      <c r="Q147" s="832"/>
      <c r="R147" s="518"/>
      <c r="S147" s="945"/>
      <c r="T147" s="945"/>
      <c r="U147" s="945"/>
      <c r="V147" s="833"/>
      <c r="W147" s="945"/>
      <c r="X147" s="945">
        <v>2</v>
      </c>
      <c r="Y147" s="835">
        <f t="shared" si="104"/>
        <v>2</v>
      </c>
      <c r="Z147" s="951">
        <f t="shared" si="95"/>
        <v>1</v>
      </c>
      <c r="AA147" s="838">
        <v>0.08</v>
      </c>
      <c r="AB147" s="838">
        <v>0.08</v>
      </c>
      <c r="AC147" s="838">
        <v>0</v>
      </c>
      <c r="AD147" s="866">
        <f>+'Anexo 5.2-A. Gastos Rev'!CD143</f>
        <v>0</v>
      </c>
      <c r="AE147" s="934"/>
      <c r="AF147" s="866">
        <v>324870906.38999999</v>
      </c>
      <c r="AG147" s="985">
        <f>+'Anexo 5.2-A. Gastos Rev'!CE143</f>
        <v>0</v>
      </c>
      <c r="AH147" s="837" t="e">
        <f t="shared" si="96"/>
        <v>#DIV/0!</v>
      </c>
      <c r="AI147" s="1003">
        <f>+'Anexo 5.2-A. Gastos Rev'!CF143</f>
        <v>0</v>
      </c>
      <c r="AJ147" s="1003">
        <f>+'Anexo 5.2-A. Gastos Rev'!CG143</f>
        <v>0</v>
      </c>
      <c r="AK147" s="1004" t="e">
        <f t="shared" si="97"/>
        <v>#DIV/0!</v>
      </c>
      <c r="AL147" s="1003">
        <f t="shared" si="98"/>
        <v>0</v>
      </c>
      <c r="AM147" s="1003"/>
      <c r="AN147" s="1003"/>
      <c r="AO147" s="843" t="e">
        <f t="shared" si="105"/>
        <v>#DIV/0!</v>
      </c>
      <c r="AP147" s="862"/>
      <c r="AQ147" s="866">
        <f t="shared" si="100"/>
        <v>324870906.38999999</v>
      </c>
      <c r="AR147" s="867" t="e">
        <f t="shared" si="106"/>
        <v>#DIV/0!</v>
      </c>
      <c r="AS147" s="936"/>
      <c r="AT147" s="494"/>
      <c r="AU147" s="493" t="s">
        <v>98</v>
      </c>
      <c r="AV147" s="846" t="s">
        <v>2479</v>
      </c>
      <c r="AW147" s="847"/>
      <c r="AX147" s="847"/>
      <c r="BB147" s="1037"/>
      <c r="BD147" s="1037"/>
    </row>
    <row r="148" spans="1:56" ht="45.75" customHeight="1" thickBot="1" x14ac:dyDescent="0.3">
      <c r="A148" s="827" t="s">
        <v>2480</v>
      </c>
      <c r="B148" s="893" t="s">
        <v>2481</v>
      </c>
      <c r="C148" s="828">
        <v>0</v>
      </c>
      <c r="D148" s="828">
        <v>0</v>
      </c>
      <c r="E148" s="851">
        <v>0.3</v>
      </c>
      <c r="F148" s="851"/>
      <c r="G148" s="851">
        <v>0</v>
      </c>
      <c r="H148" s="851">
        <v>0</v>
      </c>
      <c r="I148" s="851">
        <v>0.3</v>
      </c>
      <c r="J148" s="828"/>
      <c r="K148" s="838">
        <v>0</v>
      </c>
      <c r="L148" s="830">
        <v>0</v>
      </c>
      <c r="M148" s="830">
        <f>IF(I148/E148&gt;=100%,100%,I148/E148)</f>
        <v>1</v>
      </c>
      <c r="N148" s="945" t="s">
        <v>2152</v>
      </c>
      <c r="O148" s="945"/>
      <c r="P148" s="950"/>
      <c r="Q148" s="832"/>
      <c r="R148" s="518"/>
      <c r="S148" s="945"/>
      <c r="T148" s="945"/>
      <c r="U148" s="945"/>
      <c r="V148" s="833"/>
      <c r="W148" s="945"/>
      <c r="X148" s="894">
        <v>1</v>
      </c>
      <c r="Y148" s="853">
        <f t="shared" si="104"/>
        <v>0.3</v>
      </c>
      <c r="Z148" s="1034">
        <f>IF(Y148/X148&gt;=100%,100%,Y148/X148)</f>
        <v>0.3</v>
      </c>
      <c r="AA148" s="838">
        <v>0</v>
      </c>
      <c r="AB148" s="838">
        <v>0</v>
      </c>
      <c r="AC148" s="838">
        <v>0</v>
      </c>
      <c r="AD148" s="866">
        <f>+'Anexo 5.2-A. Gastos Rev'!CD144</f>
        <v>100000000</v>
      </c>
      <c r="AE148" s="934"/>
      <c r="AF148" s="866">
        <v>0</v>
      </c>
      <c r="AG148" s="985">
        <f>+'Anexo 5.2-A. Gastos Rev'!CE144</f>
        <v>100000000</v>
      </c>
      <c r="AH148" s="837">
        <f t="shared" si="96"/>
        <v>1</v>
      </c>
      <c r="AI148" s="1003">
        <f>+'Anexo 5.2-A. Gastos Rev'!CF144</f>
        <v>39061271.75</v>
      </c>
      <c r="AJ148" s="1003">
        <f>+'Anexo 5.2-A. Gastos Rev'!CG144</f>
        <v>39061271.75</v>
      </c>
      <c r="AK148" s="1004">
        <f t="shared" si="97"/>
        <v>0.39061271749999998</v>
      </c>
      <c r="AL148" s="1003">
        <f t="shared" si="98"/>
        <v>60938728.25</v>
      </c>
      <c r="AM148" s="1003"/>
      <c r="AN148" s="1003"/>
      <c r="AO148" s="843" t="e">
        <f t="shared" si="105"/>
        <v>#DIV/0!</v>
      </c>
      <c r="AP148" s="862"/>
      <c r="AQ148" s="866">
        <f t="shared" si="100"/>
        <v>100000000</v>
      </c>
      <c r="AR148" s="867" t="e">
        <f t="shared" si="106"/>
        <v>#DIV/0!</v>
      </c>
      <c r="AS148" s="936"/>
      <c r="AT148" s="494"/>
      <c r="AU148" s="493" t="s">
        <v>115</v>
      </c>
      <c r="AV148" s="846" t="s">
        <v>2277</v>
      </c>
      <c r="AW148" s="847"/>
      <c r="AX148" s="847"/>
      <c r="BB148" s="1037"/>
      <c r="BD148" s="1037"/>
    </row>
    <row r="149" spans="1:56" ht="26.25" thickBot="1" x14ac:dyDescent="0.3">
      <c r="A149" s="827" t="s">
        <v>2482</v>
      </c>
      <c r="B149" s="893" t="s">
        <v>2483</v>
      </c>
      <c r="C149" s="851">
        <v>0.15</v>
      </c>
      <c r="D149" s="851">
        <v>0.15</v>
      </c>
      <c r="E149" s="837">
        <v>0.3</v>
      </c>
      <c r="F149" s="837"/>
      <c r="G149" s="851">
        <v>0.15</v>
      </c>
      <c r="H149" s="851">
        <v>0.15</v>
      </c>
      <c r="I149" s="837">
        <v>0</v>
      </c>
      <c r="J149" s="828"/>
      <c r="K149" s="838">
        <f>IF((G149+J149)/C149&gt;=100%,100%,(G149+J149)/C149)</f>
        <v>1</v>
      </c>
      <c r="L149" s="830">
        <f>IF(H149/D149&gt;=100%,100%,H149/D149)</f>
        <v>1</v>
      </c>
      <c r="M149" s="830">
        <f>IF(I149/E149&gt;=100%,100%,I149/E149)</f>
        <v>0</v>
      </c>
      <c r="N149" s="945"/>
      <c r="O149" s="945"/>
      <c r="P149" s="950"/>
      <c r="Q149" s="832"/>
      <c r="R149" s="518"/>
      <c r="S149" s="945"/>
      <c r="T149" s="945"/>
      <c r="U149" s="945"/>
      <c r="V149" s="833"/>
      <c r="W149" s="945"/>
      <c r="X149" s="894">
        <v>1</v>
      </c>
      <c r="Y149" s="853">
        <f t="shared" si="104"/>
        <v>0.3</v>
      </c>
      <c r="Z149" s="951">
        <f t="shared" si="95"/>
        <v>0.3</v>
      </c>
      <c r="AA149" s="838">
        <v>0.08</v>
      </c>
      <c r="AB149" s="838">
        <v>0.08</v>
      </c>
      <c r="AC149" s="838">
        <v>0</v>
      </c>
      <c r="AD149" s="1003">
        <f>+'Anexo 5.2-A. Gastos Rev'!CD145</f>
        <v>291347825.82999998</v>
      </c>
      <c r="AE149" s="934"/>
      <c r="AF149" s="866">
        <v>269089164.37</v>
      </c>
      <c r="AG149" s="985">
        <f>+'Anexo 5.2-A. Gastos Rev'!CE145</f>
        <v>291347825.82999998</v>
      </c>
      <c r="AH149" s="837">
        <f t="shared" si="96"/>
        <v>1</v>
      </c>
      <c r="AI149" s="1003">
        <f>+'Anexo 5.2-A. Gastos Rev'!CF145</f>
        <v>0</v>
      </c>
      <c r="AJ149" s="1003">
        <f>+'Anexo 5.2-A. Gastos Rev'!CG145</f>
        <v>0</v>
      </c>
      <c r="AK149" s="1004">
        <f t="shared" si="97"/>
        <v>0</v>
      </c>
      <c r="AL149" s="1003">
        <f t="shared" si="98"/>
        <v>291347825.82999998</v>
      </c>
      <c r="AM149" s="1003"/>
      <c r="AN149" s="1003"/>
      <c r="AO149" s="843" t="e">
        <f t="shared" si="105"/>
        <v>#DIV/0!</v>
      </c>
      <c r="AP149" s="862"/>
      <c r="AQ149" s="866">
        <f t="shared" si="100"/>
        <v>560436990.20000005</v>
      </c>
      <c r="AR149" s="867" t="e">
        <f t="shared" si="106"/>
        <v>#DIV/0!</v>
      </c>
      <c r="AS149" s="936"/>
      <c r="AT149" s="494"/>
      <c r="AU149" s="493" t="s">
        <v>115</v>
      </c>
      <c r="AV149" s="846" t="s">
        <v>2277</v>
      </c>
      <c r="AW149" s="847"/>
      <c r="AX149" s="847"/>
      <c r="BB149" s="1037"/>
      <c r="BD149" s="1037"/>
    </row>
    <row r="150" spans="1:56" ht="95.25" customHeight="1" thickBot="1" x14ac:dyDescent="0.3">
      <c r="A150" s="827" t="s">
        <v>2484</v>
      </c>
      <c r="B150" s="893" t="s">
        <v>2457</v>
      </c>
      <c r="C150" s="828">
        <v>1</v>
      </c>
      <c r="D150" s="828">
        <v>1</v>
      </c>
      <c r="E150" s="828">
        <v>0</v>
      </c>
      <c r="F150" s="828"/>
      <c r="G150" s="828">
        <v>1</v>
      </c>
      <c r="H150" s="828">
        <v>1</v>
      </c>
      <c r="I150" s="828">
        <v>0</v>
      </c>
      <c r="J150" s="828"/>
      <c r="K150" s="838">
        <f>IF((G150+J150)/C150&gt;=100%,100%,(G150+J150)/C150)</f>
        <v>1</v>
      </c>
      <c r="L150" s="830">
        <f>IF(H150/D150&gt;=100%,100%,H150/D150)</f>
        <v>1</v>
      </c>
      <c r="M150" s="830">
        <v>0</v>
      </c>
      <c r="N150" s="945" t="s">
        <v>2612</v>
      </c>
      <c r="O150" s="945"/>
      <c r="P150" s="950"/>
      <c r="Q150" s="832"/>
      <c r="R150" s="832" t="s">
        <v>2521</v>
      </c>
      <c r="S150" s="1035" t="s">
        <v>2613</v>
      </c>
      <c r="T150" s="945"/>
      <c r="U150" s="945"/>
      <c r="V150" s="833"/>
      <c r="W150" s="945"/>
      <c r="X150" s="945">
        <v>2</v>
      </c>
      <c r="Y150" s="835">
        <f t="shared" si="104"/>
        <v>2</v>
      </c>
      <c r="Z150" s="951">
        <f t="shared" si="95"/>
        <v>1</v>
      </c>
      <c r="AA150" s="838">
        <v>7.0000000000000007E-2</v>
      </c>
      <c r="AB150" s="838">
        <v>7.0000000000000007E-2</v>
      </c>
      <c r="AC150" s="838">
        <v>0</v>
      </c>
      <c r="AD150" s="866">
        <f>+'Anexo 5.2-A. Gastos Rev'!CD146</f>
        <v>0</v>
      </c>
      <c r="AE150" s="934"/>
      <c r="AF150" s="866">
        <v>144814795.97999999</v>
      </c>
      <c r="AG150" s="985">
        <f>+'Anexo 5.2-A. Gastos Rev'!CE146</f>
        <v>0</v>
      </c>
      <c r="AH150" s="837" t="e">
        <f t="shared" si="96"/>
        <v>#DIV/0!</v>
      </c>
      <c r="AI150" s="1003">
        <f>+'Anexo 5.2-A. Gastos Rev'!CF146</f>
        <v>0</v>
      </c>
      <c r="AJ150" s="1003">
        <f>+'Anexo 5.2-A. Gastos Rev'!CG146</f>
        <v>0</v>
      </c>
      <c r="AK150" s="1004" t="e">
        <f t="shared" si="97"/>
        <v>#DIV/0!</v>
      </c>
      <c r="AL150" s="1003">
        <f t="shared" si="98"/>
        <v>0</v>
      </c>
      <c r="AM150" s="1003"/>
      <c r="AN150" s="1003"/>
      <c r="AO150" s="843" t="e">
        <f t="shared" si="105"/>
        <v>#DIV/0!</v>
      </c>
      <c r="AP150" s="862"/>
      <c r="AQ150" s="866">
        <f t="shared" si="100"/>
        <v>144814795.97999999</v>
      </c>
      <c r="AR150" s="867" t="e">
        <f t="shared" si="106"/>
        <v>#DIV/0!</v>
      </c>
      <c r="AS150" s="936"/>
      <c r="AT150" s="494"/>
      <c r="AU150" s="493" t="s">
        <v>115</v>
      </c>
      <c r="AV150" s="846" t="s">
        <v>2277</v>
      </c>
      <c r="AW150" s="847"/>
      <c r="AX150" s="847"/>
      <c r="BB150" s="1037"/>
      <c r="BD150" s="1037"/>
    </row>
    <row r="151" spans="1:56" ht="163.5" customHeight="1" x14ac:dyDescent="0.25">
      <c r="A151" s="827" t="s">
        <v>2485</v>
      </c>
      <c r="B151" s="893" t="s">
        <v>2486</v>
      </c>
      <c r="C151" s="828">
        <v>25</v>
      </c>
      <c r="D151" s="828">
        <v>25</v>
      </c>
      <c r="E151" s="828">
        <v>25</v>
      </c>
      <c r="F151" s="828"/>
      <c r="G151" s="828">
        <v>25</v>
      </c>
      <c r="H151" s="828">
        <v>25</v>
      </c>
      <c r="I151" s="828">
        <v>25</v>
      </c>
      <c r="J151" s="828"/>
      <c r="K151" s="838">
        <f>IF((G151+J151)/C151&gt;=100%,100%,(G151+J151)/C151)</f>
        <v>1</v>
      </c>
      <c r="L151" s="830">
        <f>IF(H151/D151&gt;=100%,100%,H151/D151)</f>
        <v>1</v>
      </c>
      <c r="M151" s="830">
        <f>IF(I151/E151&gt;=100%,100%,I151/E151)</f>
        <v>1</v>
      </c>
      <c r="N151" s="945" t="s">
        <v>2614</v>
      </c>
      <c r="O151" s="945"/>
      <c r="P151" s="832" t="s">
        <v>75</v>
      </c>
      <c r="Q151" s="832"/>
      <c r="R151" s="832" t="s">
        <v>2521</v>
      </c>
      <c r="S151" s="945" t="s">
        <v>2615</v>
      </c>
      <c r="T151" s="945"/>
      <c r="U151" s="945"/>
      <c r="V151" s="833"/>
      <c r="W151" s="945"/>
      <c r="X151" s="945">
        <v>100</v>
      </c>
      <c r="Y151" s="835">
        <f t="shared" si="104"/>
        <v>75</v>
      </c>
      <c r="Z151" s="951">
        <f t="shared" si="95"/>
        <v>0.75</v>
      </c>
      <c r="AA151" s="838">
        <v>7.0000000000000007E-2</v>
      </c>
      <c r="AB151" s="838">
        <v>7.0000000000000007E-2</v>
      </c>
      <c r="AC151" s="838">
        <v>0.28999999999999998</v>
      </c>
      <c r="AD151" s="866">
        <f>+'Anexo 5.2-A. Gastos Rev'!CD147</f>
        <v>3845232859</v>
      </c>
      <c r="AE151" s="934"/>
      <c r="AF151" s="866">
        <v>2480237924.0999999</v>
      </c>
      <c r="AG151" s="985">
        <f>+'Anexo 5.2-A. Gastos Rev'!CE147</f>
        <v>3845232859</v>
      </c>
      <c r="AH151" s="837">
        <f t="shared" si="96"/>
        <v>1</v>
      </c>
      <c r="AI151" s="1003">
        <f>+'Anexo 5.2-A. Gastos Rev'!CF147</f>
        <v>3226942550.8600001</v>
      </c>
      <c r="AJ151" s="1003">
        <f>+'Anexo 5.2-A. Gastos Rev'!CG147</f>
        <v>2941717918.5300002</v>
      </c>
      <c r="AK151" s="1004">
        <f t="shared" si="97"/>
        <v>0.83920601669340933</v>
      </c>
      <c r="AL151" s="1003">
        <f t="shared" si="98"/>
        <v>618290308.13999987</v>
      </c>
      <c r="AM151" s="1003"/>
      <c r="AN151" s="1003"/>
      <c r="AO151" s="843" t="e">
        <f t="shared" si="105"/>
        <v>#DIV/0!</v>
      </c>
      <c r="AP151" s="862"/>
      <c r="AQ151" s="866">
        <f t="shared" si="100"/>
        <v>6325470783.1000004</v>
      </c>
      <c r="AR151" s="867" t="e">
        <f t="shared" si="106"/>
        <v>#DIV/0!</v>
      </c>
      <c r="AS151" s="936"/>
      <c r="AT151" s="494"/>
      <c r="AU151" s="493" t="s">
        <v>108</v>
      </c>
      <c r="AV151" s="846" t="s">
        <v>2277</v>
      </c>
      <c r="AW151" s="847"/>
      <c r="AX151" s="847"/>
      <c r="BB151" s="1037"/>
      <c r="BD151" s="1037"/>
    </row>
    <row r="152" spans="1:56" ht="89.25" x14ac:dyDescent="0.25">
      <c r="A152" s="827" t="s">
        <v>2487</v>
      </c>
      <c r="B152" s="893" t="s">
        <v>2488</v>
      </c>
      <c r="C152" s="828">
        <v>25</v>
      </c>
      <c r="D152" s="828">
        <v>25</v>
      </c>
      <c r="E152" s="828">
        <v>25</v>
      </c>
      <c r="F152" s="828"/>
      <c r="G152" s="828">
        <v>25</v>
      </c>
      <c r="H152" s="828">
        <v>25</v>
      </c>
      <c r="I152" s="828">
        <v>25</v>
      </c>
      <c r="J152" s="828"/>
      <c r="K152" s="838">
        <f>IF((G152+J152)/C152&gt;=100%,100%,(G152+J152)/C152)</f>
        <v>1</v>
      </c>
      <c r="L152" s="830">
        <f>IF(H152/D152&gt;=100%,100%,H152/D152)</f>
        <v>1</v>
      </c>
      <c r="M152" s="830">
        <f>IF(I152/E152&gt;=100%,100%,I152/E152)</f>
        <v>1</v>
      </c>
      <c r="N152" s="945" t="s">
        <v>2616</v>
      </c>
      <c r="O152" s="945"/>
      <c r="P152" s="832" t="s">
        <v>75</v>
      </c>
      <c r="Q152" s="832"/>
      <c r="R152" s="832" t="s">
        <v>2521</v>
      </c>
      <c r="S152" s="945" t="s">
        <v>2617</v>
      </c>
      <c r="T152" s="945"/>
      <c r="U152" s="945"/>
      <c r="V152" s="833"/>
      <c r="W152" s="945"/>
      <c r="X152" s="945">
        <v>100</v>
      </c>
      <c r="Y152" s="878">
        <f t="shared" si="104"/>
        <v>75</v>
      </c>
      <c r="Z152" s="836">
        <f t="shared" si="95"/>
        <v>0.75</v>
      </c>
      <c r="AA152" s="955">
        <v>7.0000000000000007E-2</v>
      </c>
      <c r="AB152" s="838">
        <v>7.0000000000000007E-2</v>
      </c>
      <c r="AC152" s="838">
        <v>0.15</v>
      </c>
      <c r="AD152" s="866">
        <f>+'Anexo 5.2-A. Gastos Rev'!CD148</f>
        <v>108652174.17</v>
      </c>
      <c r="AE152" s="934"/>
      <c r="AF152" s="866">
        <v>492726720.66000003</v>
      </c>
      <c r="AG152" s="985">
        <f>+'Anexo 5.2-A. Gastos Rev'!CE148</f>
        <v>108652174.17</v>
      </c>
      <c r="AH152" s="837">
        <f t="shared" si="96"/>
        <v>1</v>
      </c>
      <c r="AI152" s="1003">
        <f>+'Anexo 5.2-A. Gastos Rev'!CF148</f>
        <v>108652174.17</v>
      </c>
      <c r="AJ152" s="1003">
        <f>+'Anexo 5.2-A. Gastos Rev'!CG148</f>
        <v>108652174.17</v>
      </c>
      <c r="AK152" s="1004">
        <f t="shared" si="97"/>
        <v>1</v>
      </c>
      <c r="AL152" s="1003">
        <f t="shared" si="98"/>
        <v>0</v>
      </c>
      <c r="AM152" s="1003"/>
      <c r="AN152" s="1003"/>
      <c r="AO152" s="843" t="e">
        <f t="shared" si="105"/>
        <v>#DIV/0!</v>
      </c>
      <c r="AP152" s="862"/>
      <c r="AQ152" s="866">
        <f>+AE152+AF152+AG152</f>
        <v>601378894.83000004</v>
      </c>
      <c r="AR152" s="867" t="e">
        <f t="shared" si="106"/>
        <v>#DIV/0!</v>
      </c>
      <c r="AS152" s="936"/>
      <c r="AT152" s="494"/>
      <c r="AU152" s="493" t="s">
        <v>111</v>
      </c>
      <c r="AV152" s="846" t="s">
        <v>2277</v>
      </c>
      <c r="AW152" s="847"/>
      <c r="AX152" s="847"/>
      <c r="BB152" s="1037"/>
      <c r="BD152" s="1037"/>
    </row>
    <row r="153" spans="1:56" ht="25.5" x14ac:dyDescent="0.25">
      <c r="A153" s="786" t="s">
        <v>2241</v>
      </c>
      <c r="B153" s="787"/>
      <c r="C153" s="788"/>
      <c r="D153" s="788"/>
      <c r="E153" s="788"/>
      <c r="F153" s="788"/>
      <c r="G153" s="788"/>
      <c r="H153" s="788"/>
      <c r="I153" s="788"/>
      <c r="J153" s="788"/>
      <c r="K153" s="795">
        <f>+(K154*AA154)</f>
        <v>0.2</v>
      </c>
      <c r="L153" s="795">
        <f>+(L154*AB154)</f>
        <v>1</v>
      </c>
      <c r="M153" s="795">
        <f>+(M154*AC154)</f>
        <v>1</v>
      </c>
      <c r="N153" s="943"/>
      <c r="O153" s="943"/>
      <c r="P153" s="790"/>
      <c r="Q153" s="791"/>
      <c r="R153" s="791"/>
      <c r="S153" s="943"/>
      <c r="T153" s="943"/>
      <c r="U153" s="943"/>
      <c r="V153" s="914"/>
      <c r="W153" s="943"/>
      <c r="X153" s="943"/>
      <c r="Y153" s="791"/>
      <c r="Z153" s="793">
        <f>+(Z154*AA154)+(Z159*AA159)+(Z168*AA168)+(Z184*AA184)</f>
        <v>0.95000000000000007</v>
      </c>
      <c r="AA153" s="794">
        <v>0.12</v>
      </c>
      <c r="AB153" s="795">
        <v>0.12</v>
      </c>
      <c r="AC153" s="795">
        <v>0.12</v>
      </c>
      <c r="AD153" s="915">
        <f>+'Anexo 5.2-A. Gastos Rev'!CD149</f>
        <v>1619300000</v>
      </c>
      <c r="AE153" s="931">
        <f>+AE154</f>
        <v>866297190.23000002</v>
      </c>
      <c r="AF153" s="915">
        <f>+AF154</f>
        <v>541913267</v>
      </c>
      <c r="AG153" s="916">
        <f>+'Anexo 5.2-A. Gastos Rev'!CE149</f>
        <v>1619298965.29</v>
      </c>
      <c r="AH153" s="794">
        <f t="shared" si="96"/>
        <v>0.99999936101401843</v>
      </c>
      <c r="AI153" s="915">
        <f>+'Anexo 5.2-A. Gastos Rev'!CF149</f>
        <v>1619298965</v>
      </c>
      <c r="AJ153" s="915">
        <f>+'Anexo 5.2-A. Gastos Rev'!CG149</f>
        <v>1564136448</v>
      </c>
      <c r="AK153" s="978">
        <f t="shared" si="97"/>
        <v>0.99999999982091015</v>
      </c>
      <c r="AL153" s="915">
        <f t="shared" si="98"/>
        <v>0.28999996185302734</v>
      </c>
      <c r="AM153" s="915">
        <f t="shared" ref="AM153:AN153" si="107">+AM154</f>
        <v>0</v>
      </c>
      <c r="AN153" s="915">
        <f t="shared" si="107"/>
        <v>0</v>
      </c>
      <c r="AO153" s="799" t="e">
        <f t="shared" si="105"/>
        <v>#DIV/0!</v>
      </c>
      <c r="AP153" s="916">
        <f>+AP154+AP159+AP168+AP184</f>
        <v>10917016316</v>
      </c>
      <c r="AQ153" s="917">
        <f t="shared" si="100"/>
        <v>3027509422.52</v>
      </c>
      <c r="AR153" s="932">
        <f t="shared" si="106"/>
        <v>0.27732022513174009</v>
      </c>
      <c r="AS153" s="919"/>
      <c r="AT153" s="802" t="s">
        <v>2500</v>
      </c>
      <c r="AU153" s="803"/>
      <c r="AV153" s="804"/>
      <c r="AW153" s="805"/>
      <c r="AX153" s="805"/>
      <c r="BB153" s="1037"/>
      <c r="BD153" s="1037"/>
    </row>
    <row r="154" spans="1:56" ht="25.5" x14ac:dyDescent="0.25">
      <c r="A154" s="806" t="s">
        <v>2177</v>
      </c>
      <c r="B154" s="807"/>
      <c r="C154" s="808"/>
      <c r="D154" s="808"/>
      <c r="E154" s="808"/>
      <c r="F154" s="808"/>
      <c r="G154" s="808"/>
      <c r="H154" s="808"/>
      <c r="I154" s="808"/>
      <c r="J154" s="808"/>
      <c r="K154" s="809">
        <f>+(K155*AA155)+(K156*AA156)+(K157*AA157)+(K158*AA158)+(K159*AA159)</f>
        <v>0.2</v>
      </c>
      <c r="L154" s="810">
        <f>+(L155*AB155)+(L156*AB156)+(L157*AB157)+(L158*AB158)+(L159*AB159)</f>
        <v>1</v>
      </c>
      <c r="M154" s="810">
        <f>+(M155*AC155)+(M156*AC156)+(M157*AC157)+(M158*AC158)+(M159*AC159)</f>
        <v>1</v>
      </c>
      <c r="N154" s="944"/>
      <c r="O154" s="944"/>
      <c r="P154" s="811"/>
      <c r="Q154" s="812"/>
      <c r="R154" s="812"/>
      <c r="S154" s="944"/>
      <c r="T154" s="944"/>
      <c r="U154" s="944"/>
      <c r="V154" s="855"/>
      <c r="W154" s="944"/>
      <c r="X154" s="944"/>
      <c r="Y154" s="952"/>
      <c r="Z154" s="814">
        <f>+(Z155*AA155)+(Z156*AA156)+(Z157*AA157)+(Z158*AA158)+(Z159*AA159)</f>
        <v>0.8</v>
      </c>
      <c r="AA154" s="953">
        <v>1</v>
      </c>
      <c r="AB154" s="954">
        <v>1</v>
      </c>
      <c r="AC154" s="954">
        <v>1</v>
      </c>
      <c r="AD154" s="856">
        <f>+'Anexo 5.2-A. Gastos Rev'!CD150</f>
        <v>1619300000</v>
      </c>
      <c r="AE154" s="933">
        <v>866297190.23000002</v>
      </c>
      <c r="AF154" s="856">
        <f>+SUM(AF155:AF159)</f>
        <v>541913267</v>
      </c>
      <c r="AG154" s="858">
        <f>+'Anexo 5.2-A. Gastos Rev'!CE150</f>
        <v>1619298965.29</v>
      </c>
      <c r="AH154" s="815">
        <f t="shared" si="96"/>
        <v>0.99999936101401843</v>
      </c>
      <c r="AI154" s="856">
        <f>+'Anexo 5.2-A. Gastos Rev'!CF150</f>
        <v>1619298965</v>
      </c>
      <c r="AJ154" s="856">
        <f>+'Anexo 5.2-A. Gastos Rev'!CG150</f>
        <v>1564136448</v>
      </c>
      <c r="AK154" s="979">
        <f t="shared" si="97"/>
        <v>0.99999999982091015</v>
      </c>
      <c r="AL154" s="856">
        <f t="shared" si="98"/>
        <v>0.28999996185302734</v>
      </c>
      <c r="AM154" s="856">
        <f t="shared" ref="AM154:AN154" si="108">+SUM(AM155:AM159)</f>
        <v>0</v>
      </c>
      <c r="AN154" s="856">
        <f t="shared" si="108"/>
        <v>0</v>
      </c>
      <c r="AO154" s="820" t="e">
        <f t="shared" si="105"/>
        <v>#DIV/0!</v>
      </c>
      <c r="AP154" s="858">
        <v>10917016316</v>
      </c>
      <c r="AQ154" s="860">
        <f t="shared" si="100"/>
        <v>3027509422.52</v>
      </c>
      <c r="AR154" s="1211">
        <f t="shared" si="106"/>
        <v>0.27732022513174009</v>
      </c>
      <c r="AS154" s="861"/>
      <c r="AT154" s="823"/>
      <c r="AU154" s="824"/>
      <c r="AV154" s="825"/>
      <c r="AW154" s="826"/>
      <c r="AX154" s="826"/>
      <c r="BB154" s="1037"/>
      <c r="BD154" s="1037"/>
    </row>
    <row r="155" spans="1:56" ht="133.5" customHeight="1" x14ac:dyDescent="0.25">
      <c r="A155" s="827" t="s">
        <v>2489</v>
      </c>
      <c r="B155" s="893" t="s">
        <v>2490</v>
      </c>
      <c r="C155" s="828">
        <v>12</v>
      </c>
      <c r="D155" s="828">
        <v>24</v>
      </c>
      <c r="E155" s="828">
        <v>20</v>
      </c>
      <c r="F155" s="828"/>
      <c r="G155" s="828">
        <v>12</v>
      </c>
      <c r="H155" s="828">
        <v>24</v>
      </c>
      <c r="I155" s="828">
        <v>20</v>
      </c>
      <c r="J155" s="828"/>
      <c r="K155" s="838">
        <f>IF((G155+J155)/C155&gt;=100%,100%,(G155+J155)/C155)</f>
        <v>1</v>
      </c>
      <c r="L155" s="830">
        <f t="shared" ref="L155:M159" si="109">IF(H155/D155&gt;=100%,100%,H155/D155)</f>
        <v>1</v>
      </c>
      <c r="M155" s="830">
        <f t="shared" si="109"/>
        <v>1</v>
      </c>
      <c r="N155" s="945" t="s">
        <v>2618</v>
      </c>
      <c r="O155" s="945"/>
      <c r="P155" s="832" t="s">
        <v>75</v>
      </c>
      <c r="Q155" s="832"/>
      <c r="R155" s="832" t="s">
        <v>2521</v>
      </c>
      <c r="S155" s="945" t="s">
        <v>2619</v>
      </c>
      <c r="T155" s="945"/>
      <c r="U155" s="945"/>
      <c r="V155" s="833"/>
      <c r="W155" s="945"/>
      <c r="X155" s="945">
        <v>27</v>
      </c>
      <c r="Y155" s="835">
        <f>SUM(G155:I155)</f>
        <v>56</v>
      </c>
      <c r="Z155" s="836">
        <f t="shared" si="95"/>
        <v>1</v>
      </c>
      <c r="AA155" s="837">
        <v>0.2</v>
      </c>
      <c r="AB155" s="838">
        <v>0.2</v>
      </c>
      <c r="AC155" s="838">
        <v>0.2</v>
      </c>
      <c r="AD155" s="866">
        <f>+'Anexo 5.2-A. Gastos Rev'!CD151</f>
        <v>300000000</v>
      </c>
      <c r="AE155" s="934"/>
      <c r="AF155" s="866">
        <v>541913267</v>
      </c>
      <c r="AG155" s="985">
        <f>+'Anexo 5.2-A. Gastos Rev'!CE151</f>
        <v>300000000</v>
      </c>
      <c r="AH155" s="837">
        <f t="shared" si="96"/>
        <v>1</v>
      </c>
      <c r="AI155" s="1003">
        <f>+'Anexo 5.2-A. Gastos Rev'!CF151</f>
        <v>300000000</v>
      </c>
      <c r="AJ155" s="1003">
        <f>+'Anexo 5.2-A. Gastos Rev'!CG151</f>
        <v>300000000</v>
      </c>
      <c r="AK155" s="1004">
        <f t="shared" si="97"/>
        <v>1</v>
      </c>
      <c r="AL155" s="1003">
        <f t="shared" si="98"/>
        <v>0</v>
      </c>
      <c r="AM155" s="1003"/>
      <c r="AN155" s="1003"/>
      <c r="AO155" s="843" t="e">
        <f t="shared" si="105"/>
        <v>#DIV/0!</v>
      </c>
      <c r="AP155" s="862"/>
      <c r="AQ155" s="866">
        <f t="shared" si="100"/>
        <v>841913267</v>
      </c>
      <c r="AR155" s="867" t="e">
        <f>+(AQ155/AP155)</f>
        <v>#DIV/0!</v>
      </c>
      <c r="AS155" s="936"/>
      <c r="AT155" s="494"/>
      <c r="AU155" s="493" t="s">
        <v>116</v>
      </c>
      <c r="AV155" s="846" t="s">
        <v>2277</v>
      </c>
      <c r="AW155" s="847"/>
      <c r="AX155" s="847"/>
      <c r="BB155" s="1037"/>
      <c r="BD155" s="1037"/>
    </row>
    <row r="156" spans="1:56" ht="51" x14ac:dyDescent="0.25">
      <c r="A156" s="827" t="s">
        <v>2491</v>
      </c>
      <c r="B156" s="893" t="s">
        <v>2492</v>
      </c>
      <c r="C156" s="828">
        <v>1</v>
      </c>
      <c r="D156" s="828">
        <v>2</v>
      </c>
      <c r="E156" s="828">
        <v>1</v>
      </c>
      <c r="F156" s="828"/>
      <c r="G156" s="828">
        <v>0</v>
      </c>
      <c r="H156" s="828">
        <v>2</v>
      </c>
      <c r="I156" s="828">
        <v>1</v>
      </c>
      <c r="J156" s="828"/>
      <c r="K156" s="838">
        <f>IF((G156+J156)/C156&gt;=100%,100%,(G156+J156)/C156)</f>
        <v>0</v>
      </c>
      <c r="L156" s="830">
        <f t="shared" si="109"/>
        <v>1</v>
      </c>
      <c r="M156" s="830">
        <f t="shared" si="109"/>
        <v>1</v>
      </c>
      <c r="N156" s="945"/>
      <c r="O156" s="945"/>
      <c r="P156" s="831"/>
      <c r="Q156" s="832"/>
      <c r="R156" s="518"/>
      <c r="S156" s="945"/>
      <c r="T156" s="945"/>
      <c r="U156" s="945"/>
      <c r="V156" s="833"/>
      <c r="W156" s="945"/>
      <c r="X156" s="945">
        <v>4</v>
      </c>
      <c r="Y156" s="835">
        <f>SUM(G156:I156)</f>
        <v>3</v>
      </c>
      <c r="Z156" s="836">
        <f t="shared" si="95"/>
        <v>0.75</v>
      </c>
      <c r="AA156" s="837">
        <v>0.2</v>
      </c>
      <c r="AB156" s="838">
        <v>0.2</v>
      </c>
      <c r="AC156" s="838">
        <v>0.2</v>
      </c>
      <c r="AD156" s="866">
        <f>+'Anexo 5.2-A. Gastos Rev'!CD152</f>
        <v>355858000</v>
      </c>
      <c r="AE156" s="934"/>
      <c r="AF156" s="866">
        <v>0</v>
      </c>
      <c r="AG156" s="985">
        <f>+'Anexo 5.2-A. Gastos Rev'!CE152</f>
        <v>355856965.28999996</v>
      </c>
      <c r="AH156" s="837">
        <f t="shared" si="96"/>
        <v>0.99999709235144341</v>
      </c>
      <c r="AI156" s="1003">
        <f>+'Anexo 5.2-A. Gastos Rev'!CF152</f>
        <v>355856965.28999996</v>
      </c>
      <c r="AJ156" s="1003">
        <f>+'Anexo 5.2-A. Gastos Rev'!CG152</f>
        <v>355856965.28999996</v>
      </c>
      <c r="AK156" s="1004">
        <f t="shared" si="97"/>
        <v>1</v>
      </c>
      <c r="AL156" s="1003">
        <f t="shared" si="98"/>
        <v>0</v>
      </c>
      <c r="AM156" s="1003"/>
      <c r="AN156" s="1003"/>
      <c r="AO156" s="843" t="e">
        <f t="shared" si="105"/>
        <v>#DIV/0!</v>
      </c>
      <c r="AP156" s="862"/>
      <c r="AQ156" s="866">
        <f t="shared" si="100"/>
        <v>355856965.28999996</v>
      </c>
      <c r="AR156" s="867" t="e">
        <f t="shared" si="106"/>
        <v>#DIV/0!</v>
      </c>
      <c r="AS156" s="936"/>
      <c r="AT156" s="494"/>
      <c r="AU156" s="493" t="s">
        <v>91</v>
      </c>
      <c r="AV156" s="846" t="s">
        <v>2277</v>
      </c>
      <c r="AW156" s="847"/>
      <c r="AX156" s="847"/>
      <c r="BB156" s="1037"/>
      <c r="BD156" s="1037"/>
    </row>
    <row r="157" spans="1:56" ht="39" thickBot="1" x14ac:dyDescent="0.3">
      <c r="A157" s="827" t="s">
        <v>2493</v>
      </c>
      <c r="B157" s="893" t="s">
        <v>2492</v>
      </c>
      <c r="C157" s="828">
        <v>1</v>
      </c>
      <c r="D157" s="828">
        <v>2</v>
      </c>
      <c r="E157" s="828">
        <v>1</v>
      </c>
      <c r="F157" s="828"/>
      <c r="G157" s="828">
        <v>0</v>
      </c>
      <c r="H157" s="828">
        <v>2</v>
      </c>
      <c r="I157" s="828">
        <v>1</v>
      </c>
      <c r="J157" s="828"/>
      <c r="K157" s="838">
        <f>IF((G157+J157)/C157&gt;=100%,100%,(G157+J157)/C157)</f>
        <v>0</v>
      </c>
      <c r="L157" s="830">
        <f t="shared" si="109"/>
        <v>1</v>
      </c>
      <c r="M157" s="830">
        <f t="shared" si="109"/>
        <v>1</v>
      </c>
      <c r="N157" s="945" t="s">
        <v>2560</v>
      </c>
      <c r="O157" s="945"/>
      <c r="P157" s="950"/>
      <c r="Q157" s="832"/>
      <c r="R157" s="518"/>
      <c r="S157" s="945"/>
      <c r="T157" s="945"/>
      <c r="U157" s="945"/>
      <c r="V157" s="833"/>
      <c r="W157" s="945"/>
      <c r="X157" s="945">
        <v>4</v>
      </c>
      <c r="Y157" s="835">
        <f>SUM(G157:I157)</f>
        <v>3</v>
      </c>
      <c r="Z157" s="951">
        <f t="shared" si="95"/>
        <v>0.75</v>
      </c>
      <c r="AA157" s="838">
        <v>0.2</v>
      </c>
      <c r="AB157" s="838">
        <v>0.2</v>
      </c>
      <c r="AC157" s="838">
        <v>0.2</v>
      </c>
      <c r="AD157" s="866">
        <f>+'Anexo 5.2-A. Gastos Rev'!CD153</f>
        <v>263442000</v>
      </c>
      <c r="AE157" s="934"/>
      <c r="AF157" s="866">
        <v>0</v>
      </c>
      <c r="AG157" s="985">
        <f>+'Anexo 5.2-A. Gastos Rev'!CE153</f>
        <v>263442000</v>
      </c>
      <c r="AH157" s="837">
        <f t="shared" si="96"/>
        <v>1</v>
      </c>
      <c r="AI157" s="1003">
        <f>+'Anexo 5.2-A. Gastos Rev'!CF153</f>
        <v>263442000</v>
      </c>
      <c r="AJ157" s="1003">
        <f>+'Anexo 5.2-A. Gastos Rev'!CG153</f>
        <v>263442000</v>
      </c>
      <c r="AK157" s="1004">
        <f t="shared" si="97"/>
        <v>1</v>
      </c>
      <c r="AL157" s="1003">
        <f t="shared" si="98"/>
        <v>0</v>
      </c>
      <c r="AM157" s="1003"/>
      <c r="AN157" s="1003"/>
      <c r="AO157" s="843" t="e">
        <f t="shared" si="105"/>
        <v>#DIV/0!</v>
      </c>
      <c r="AP157" s="862"/>
      <c r="AQ157" s="866">
        <f t="shared" si="100"/>
        <v>263442000</v>
      </c>
      <c r="AR157" s="867" t="e">
        <f t="shared" si="106"/>
        <v>#DIV/0!</v>
      </c>
      <c r="AS157" s="936"/>
      <c r="AT157" s="494"/>
      <c r="AU157" s="493" t="s">
        <v>104</v>
      </c>
      <c r="AV157" s="846" t="s">
        <v>2277</v>
      </c>
      <c r="AW157" s="847"/>
      <c r="AX157" s="847"/>
      <c r="BB157" s="1037"/>
      <c r="BD157" s="1037"/>
    </row>
    <row r="158" spans="1:56" ht="100.5" customHeight="1" x14ac:dyDescent="0.25">
      <c r="A158" s="827" t="s">
        <v>2494</v>
      </c>
      <c r="B158" s="893" t="s">
        <v>2492</v>
      </c>
      <c r="C158" s="828">
        <v>1</v>
      </c>
      <c r="D158" s="828">
        <v>2</v>
      </c>
      <c r="E158" s="828">
        <v>1</v>
      </c>
      <c r="F158" s="828"/>
      <c r="G158" s="828">
        <v>0</v>
      </c>
      <c r="H158" s="828">
        <v>2</v>
      </c>
      <c r="I158" s="828">
        <v>1</v>
      </c>
      <c r="J158" s="828"/>
      <c r="K158" s="838">
        <f>IF((G158+J158)/C158&gt;=100%,100%,(G158+J158)/C158)</f>
        <v>0</v>
      </c>
      <c r="L158" s="830">
        <f t="shared" si="109"/>
        <v>1</v>
      </c>
      <c r="M158" s="830">
        <f t="shared" si="109"/>
        <v>1</v>
      </c>
      <c r="N158" s="945" t="s">
        <v>2620</v>
      </c>
      <c r="O158" s="945"/>
      <c r="P158" s="832" t="s">
        <v>75</v>
      </c>
      <c r="Q158" s="832"/>
      <c r="R158" s="832" t="s">
        <v>2521</v>
      </c>
      <c r="S158" s="945" t="s">
        <v>2621</v>
      </c>
      <c r="T158" s="945"/>
      <c r="U158" s="945"/>
      <c r="V158" s="833"/>
      <c r="W158" s="945"/>
      <c r="X158" s="945">
        <v>4</v>
      </c>
      <c r="Y158" s="835">
        <f>SUM(G158:I158)</f>
        <v>3</v>
      </c>
      <c r="Z158" s="951">
        <f t="shared" si="95"/>
        <v>0.75</v>
      </c>
      <c r="AA158" s="838">
        <v>0.2</v>
      </c>
      <c r="AB158" s="838">
        <v>0.2</v>
      </c>
      <c r="AC158" s="838">
        <v>0.2</v>
      </c>
      <c r="AD158" s="866">
        <f>+'Anexo 5.2-A. Gastos Rev'!CD154</f>
        <v>600000000</v>
      </c>
      <c r="AE158" s="934"/>
      <c r="AF158" s="866">
        <v>0</v>
      </c>
      <c r="AG158" s="985">
        <f>+'Anexo 5.2-A. Gastos Rev'!CE154</f>
        <v>600000000</v>
      </c>
      <c r="AH158" s="837">
        <f t="shared" si="96"/>
        <v>1</v>
      </c>
      <c r="AI158" s="1003">
        <f>+'Anexo 5.2-A. Gastos Rev'!CF154</f>
        <v>600000000</v>
      </c>
      <c r="AJ158" s="1003">
        <f>+'Anexo 5.2-A. Gastos Rev'!CG154</f>
        <v>544837483</v>
      </c>
      <c r="AK158" s="1004">
        <f t="shared" si="97"/>
        <v>1</v>
      </c>
      <c r="AL158" s="1003">
        <f t="shared" si="98"/>
        <v>0</v>
      </c>
      <c r="AM158" s="1003"/>
      <c r="AN158" s="1003"/>
      <c r="AO158" s="843" t="e">
        <f t="shared" si="105"/>
        <v>#DIV/0!</v>
      </c>
      <c r="AP158" s="862"/>
      <c r="AQ158" s="866">
        <f t="shared" si="100"/>
        <v>600000000</v>
      </c>
      <c r="AR158" s="867" t="e">
        <f t="shared" si="106"/>
        <v>#DIV/0!</v>
      </c>
      <c r="AS158" s="936"/>
      <c r="AT158" s="494"/>
      <c r="AU158" s="493" t="s">
        <v>115</v>
      </c>
      <c r="AV158" s="846" t="s">
        <v>2277</v>
      </c>
      <c r="AW158" s="847"/>
      <c r="AX158" s="847"/>
      <c r="BB158" s="1037"/>
      <c r="BD158" s="1037"/>
    </row>
    <row r="159" spans="1:56" ht="39" thickBot="1" x14ac:dyDescent="0.3">
      <c r="A159" s="827" t="s">
        <v>2495</v>
      </c>
      <c r="B159" s="893" t="s">
        <v>2492</v>
      </c>
      <c r="C159" s="828">
        <v>1</v>
      </c>
      <c r="D159" s="828">
        <v>2</v>
      </c>
      <c r="E159" s="828">
        <v>1</v>
      </c>
      <c r="F159" s="828"/>
      <c r="G159" s="828">
        <v>0</v>
      </c>
      <c r="H159" s="828">
        <v>2</v>
      </c>
      <c r="I159" s="828">
        <v>1</v>
      </c>
      <c r="J159" s="828"/>
      <c r="K159" s="838">
        <f>IF((G159+J159)/C159&gt;=100%,100%,(G159+J159)/C159)</f>
        <v>0</v>
      </c>
      <c r="L159" s="830">
        <f t="shared" si="109"/>
        <v>1</v>
      </c>
      <c r="M159" s="830">
        <f t="shared" si="109"/>
        <v>1</v>
      </c>
      <c r="N159" s="945" t="s">
        <v>2560</v>
      </c>
      <c r="O159" s="945"/>
      <c r="P159" s="950"/>
      <c r="Q159" s="832"/>
      <c r="R159" s="518"/>
      <c r="S159" s="945"/>
      <c r="T159" s="945"/>
      <c r="U159" s="945"/>
      <c r="V159" s="833"/>
      <c r="W159" s="945"/>
      <c r="X159" s="945">
        <v>4</v>
      </c>
      <c r="Y159" s="957">
        <f>SUM(G159:I159)</f>
        <v>3</v>
      </c>
      <c r="Z159" s="836">
        <f t="shared" si="95"/>
        <v>0.75</v>
      </c>
      <c r="AA159" s="958">
        <v>0.2</v>
      </c>
      <c r="AB159" s="959">
        <v>0.2</v>
      </c>
      <c r="AC159" s="959">
        <v>0.2</v>
      </c>
      <c r="AD159" s="973">
        <f>+'Anexo 5.2-A. Gastos Rev'!CD155</f>
        <v>100000000</v>
      </c>
      <c r="AE159" s="934"/>
      <c r="AF159" s="866">
        <v>0</v>
      </c>
      <c r="AG159" s="985">
        <f>+'Anexo 5.2-A. Gastos Rev'!CE155</f>
        <v>100000000</v>
      </c>
      <c r="AH159" s="837">
        <f t="shared" si="96"/>
        <v>1</v>
      </c>
      <c r="AI159" s="1003">
        <f>+'Anexo 5.2-A. Gastos Rev'!CF155</f>
        <v>100000000</v>
      </c>
      <c r="AJ159" s="1003">
        <f>+'Anexo 5.2-A. Gastos Rev'!CG155</f>
        <v>100000000</v>
      </c>
      <c r="AK159" s="1004">
        <f t="shared" si="97"/>
        <v>1</v>
      </c>
      <c r="AL159" s="1003">
        <f t="shared" si="98"/>
        <v>0</v>
      </c>
      <c r="AM159" s="1003"/>
      <c r="AN159" s="1003"/>
      <c r="AO159" s="843" t="e">
        <f t="shared" si="105"/>
        <v>#DIV/0!</v>
      </c>
      <c r="AP159" s="862"/>
      <c r="AQ159" s="866">
        <f t="shared" si="100"/>
        <v>100000000</v>
      </c>
      <c r="AR159" s="867" t="e">
        <f t="shared" si="106"/>
        <v>#DIV/0!</v>
      </c>
      <c r="AS159" s="936"/>
      <c r="AT159" s="494"/>
      <c r="AU159" s="493" t="s">
        <v>108</v>
      </c>
      <c r="AV159" s="846" t="s">
        <v>2277</v>
      </c>
      <c r="AW159" s="847"/>
      <c r="AX159" s="847"/>
      <c r="BB159" s="1037"/>
      <c r="BD159" s="1037"/>
    </row>
    <row r="160" spans="1:56" ht="13.5" thickBot="1" x14ac:dyDescent="0.3">
      <c r="A160" s="1244" t="s">
        <v>78</v>
      </c>
      <c r="B160" s="1245"/>
      <c r="C160" s="1007"/>
      <c r="D160" s="1007"/>
      <c r="E160" s="1007"/>
      <c r="F160" s="1007"/>
      <c r="G160" s="1007"/>
      <c r="H160" s="1007"/>
      <c r="I160" s="1007"/>
      <c r="J160" s="1007"/>
      <c r="K160" s="1036">
        <f>+(K8*AA8)+(K31*AA31)+(K63*AA63)+(K79*AA79)+(K100*AA100)</f>
        <v>0.6416643809523811</v>
      </c>
      <c r="L160" s="1036">
        <f>+(L8*AB8)+(L31*AB31)+(L63*AB63)+(L79*AB79)+(L100*AB100)</f>
        <v>0.86425709362637371</v>
      </c>
      <c r="M160" s="1036">
        <f>+(M8*AC8)+(M31*AC31)+(M63*AC63)+(M79*AC79)+(M100*AC100)</f>
        <v>0.92144084523809544</v>
      </c>
      <c r="N160" s="1007"/>
      <c r="O160" s="1007"/>
      <c r="P160" s="1007"/>
      <c r="Q160" s="1007"/>
      <c r="R160" s="1007"/>
      <c r="S160" s="1007"/>
      <c r="T160" s="1007"/>
      <c r="U160" s="1007"/>
      <c r="V160" s="1007"/>
      <c r="W160" s="495"/>
      <c r="X160" s="1007"/>
      <c r="Y160" s="960"/>
      <c r="Z160" s="1036">
        <f>+(Z8*AA8)+(Z31*AA31)+(Z63*AA63)+(Z79*AA79)+(Z100*AA100)</f>
        <v>0.66251536540077882</v>
      </c>
      <c r="AA160" s="961"/>
      <c r="AB160" s="961"/>
      <c r="AC160" s="961"/>
      <c r="AD160" s="962">
        <f>+AD100+AD79+AD63+AD31+AD8</f>
        <v>89805683410.959991</v>
      </c>
      <c r="AE160" s="962">
        <f t="shared" ref="AE160:AF160" si="110">+AE100+AE79+AE63+AE31+AE8</f>
        <v>53502395108.57</v>
      </c>
      <c r="AF160" s="962">
        <f t="shared" si="110"/>
        <v>70185753838.929993</v>
      </c>
      <c r="AG160" s="962">
        <f>+AG100+AG79+AG63+AG31+AG8</f>
        <v>88951941968.25</v>
      </c>
      <c r="AH160" s="963">
        <f t="shared" si="96"/>
        <v>0.99049345865112803</v>
      </c>
      <c r="AI160" s="962">
        <f>+AI100+AI79+AI63+AI31+AI8</f>
        <v>36304560326</v>
      </c>
      <c r="AJ160" s="962">
        <f>+AJ100+AJ79+AJ63+AJ31+AJ8</f>
        <v>33831469669</v>
      </c>
      <c r="AK160" s="963">
        <f t="shared" si="97"/>
        <v>0.40813679299950917</v>
      </c>
      <c r="AL160" s="962">
        <f t="shared" si="98"/>
        <v>52647381642.25</v>
      </c>
      <c r="AM160" s="962">
        <f>+AM100+AM79+AM63+AM31+AM8</f>
        <v>0</v>
      </c>
      <c r="AN160" s="962">
        <f>+AN100+AN79+AN63+AN31+AN8</f>
        <v>0</v>
      </c>
      <c r="AO160" s="964" t="e">
        <f t="shared" si="105"/>
        <v>#DIV/0!</v>
      </c>
      <c r="AP160" s="962">
        <f>+AP100+AP79+AP63+AP31+AP8</f>
        <v>281143093061</v>
      </c>
      <c r="AQ160" s="962">
        <f t="shared" si="100"/>
        <v>212640090915.75</v>
      </c>
      <c r="AR160" s="963">
        <f t="shared" si="106"/>
        <v>0.75634115211791164</v>
      </c>
      <c r="AS160" s="392"/>
      <c r="AT160" s="392"/>
      <c r="AU160" s="392"/>
      <c r="AV160" s="392"/>
      <c r="AW160" s="392"/>
      <c r="AX160" s="392"/>
      <c r="BB160" s="1037"/>
      <c r="BD160" s="1037"/>
    </row>
    <row r="161" spans="1:45" x14ac:dyDescent="0.25">
      <c r="A161" s="1306" t="s">
        <v>79</v>
      </c>
      <c r="B161" s="1306"/>
      <c r="C161" s="1306"/>
      <c r="D161" s="1306"/>
      <c r="E161" s="1306"/>
      <c r="F161" s="1306"/>
      <c r="G161" s="1306"/>
      <c r="H161" s="1306"/>
      <c r="I161" s="1306"/>
      <c r="J161" s="1306"/>
      <c r="K161" s="1306"/>
      <c r="L161" s="1306"/>
      <c r="M161" s="1306"/>
      <c r="N161" s="1306"/>
      <c r="O161" s="1306"/>
      <c r="P161" s="1306"/>
      <c r="Q161" s="1306"/>
      <c r="R161" s="1306"/>
      <c r="S161" s="1306"/>
      <c r="T161" s="1306"/>
      <c r="U161" s="1306"/>
      <c r="V161" s="1306"/>
      <c r="W161" s="1306"/>
      <c r="X161" s="1306"/>
      <c r="Y161" s="1306"/>
      <c r="Z161" s="1306"/>
      <c r="AA161" s="1306"/>
      <c r="AB161" s="1306"/>
      <c r="AC161" s="1306"/>
      <c r="AD161" s="1306"/>
      <c r="AE161" s="1306"/>
      <c r="AF161" s="1306"/>
      <c r="AG161" s="1306"/>
      <c r="AH161" s="1306"/>
      <c r="AI161" s="1306"/>
      <c r="AJ161" s="1306"/>
      <c r="AK161" s="1306"/>
      <c r="AL161" s="1306"/>
      <c r="AM161" s="1306"/>
      <c r="AN161" s="1306"/>
      <c r="AO161" s="1306"/>
      <c r="AP161" s="1306"/>
      <c r="AQ161" s="1306"/>
      <c r="AR161" s="1306"/>
      <c r="AS161" s="1306"/>
    </row>
    <row r="162" spans="1:45" x14ac:dyDescent="0.25">
      <c r="K162" s="966"/>
      <c r="AS162" s="968"/>
    </row>
    <row r="163" spans="1:45" x14ac:dyDescent="0.25">
      <c r="A163" s="1243"/>
      <c r="B163" s="1243"/>
      <c r="C163" s="1243"/>
      <c r="D163" s="1243"/>
      <c r="E163" s="1243"/>
      <c r="F163" s="1243"/>
      <c r="G163" s="1243"/>
      <c r="H163" s="1243"/>
      <c r="I163" s="1243"/>
      <c r="J163" s="1243"/>
      <c r="K163" s="1243"/>
      <c r="L163" s="1243"/>
      <c r="M163" s="1243"/>
      <c r="N163" s="1243"/>
      <c r="O163" s="1243"/>
      <c r="P163" s="1243"/>
      <c r="Q163" s="1243"/>
      <c r="R163" s="1243"/>
      <c r="S163" s="1243"/>
      <c r="T163" s="1243"/>
      <c r="U163" s="1243"/>
      <c r="V163" s="1243"/>
      <c r="W163" s="1243"/>
      <c r="X163" s="1243"/>
      <c r="Y163" s="1243"/>
      <c r="Z163" s="1243"/>
      <c r="AA163" s="1243"/>
      <c r="AB163" s="1243"/>
      <c r="AC163" s="1243"/>
      <c r="AD163" s="1243"/>
      <c r="AE163" s="1243"/>
      <c r="AF163" s="1243"/>
      <c r="AG163" s="1243"/>
      <c r="AH163" s="1243"/>
      <c r="AI163" s="1243"/>
      <c r="AJ163" s="1243"/>
      <c r="AK163" s="1243"/>
      <c r="AL163" s="1243"/>
      <c r="AM163" s="1243"/>
      <c r="AN163" s="1243"/>
      <c r="AO163" s="1243"/>
      <c r="AP163" s="1243"/>
      <c r="AQ163" s="1243"/>
      <c r="AR163" s="1243"/>
    </row>
    <row r="164" spans="1:45" x14ac:dyDescent="0.25">
      <c r="A164" s="1243"/>
      <c r="B164" s="1243"/>
      <c r="C164" s="1006"/>
      <c r="D164" s="1006"/>
      <c r="E164" s="1006"/>
      <c r="F164" s="1006"/>
      <c r="G164" s="1006"/>
      <c r="H164" s="1006"/>
      <c r="I164" s="1006"/>
      <c r="J164" s="1006"/>
      <c r="K164" s="1006"/>
      <c r="L164" s="969"/>
      <c r="M164" s="969"/>
      <c r="N164" s="1006"/>
      <c r="O164" s="1006"/>
      <c r="P164" s="1006"/>
      <c r="Q164" s="1006"/>
      <c r="R164" s="1006"/>
      <c r="S164" s="1006"/>
      <c r="T164" s="1006"/>
      <c r="U164" s="1006"/>
      <c r="V164" s="1006"/>
      <c r="W164" s="1006"/>
      <c r="X164" s="1006"/>
      <c r="Y164" s="1006"/>
      <c r="Z164" s="969"/>
      <c r="AA164" s="970"/>
      <c r="AB164" s="970"/>
      <c r="AC164" s="970"/>
      <c r="AD164" s="1243"/>
      <c r="AE164" s="1243"/>
      <c r="AF164" s="1243"/>
      <c r="AG164" s="1243"/>
      <c r="AH164" s="1243"/>
      <c r="AI164" s="1243"/>
      <c r="AJ164" s="1243"/>
      <c r="AK164" s="1243"/>
      <c r="AL164" s="1243"/>
      <c r="AM164" s="1243"/>
      <c r="AN164" s="1243"/>
      <c r="AO164" s="1243"/>
      <c r="AP164" s="1243"/>
      <c r="AQ164" s="1243"/>
      <c r="AR164" s="1243"/>
    </row>
    <row r="165" spans="1:45" x14ac:dyDescent="0.25">
      <c r="A165" s="1239"/>
      <c r="B165" s="1239"/>
      <c r="C165" s="1006"/>
      <c r="D165" s="1006"/>
      <c r="E165" s="1006"/>
      <c r="F165" s="1006"/>
      <c r="G165" s="1006"/>
      <c r="H165" s="1006"/>
      <c r="I165" s="1006"/>
      <c r="J165" s="1006"/>
      <c r="K165" s="1006"/>
      <c r="L165" s="969"/>
      <c r="M165" s="969"/>
      <c r="N165" s="1005"/>
      <c r="O165" s="1005"/>
      <c r="P165" s="1005"/>
      <c r="Q165" s="1005"/>
      <c r="R165" s="1005"/>
      <c r="S165" s="1005"/>
      <c r="T165" s="1005"/>
      <c r="U165" s="1005"/>
      <c r="V165" s="1005"/>
      <c r="W165" s="1005"/>
      <c r="X165" s="1005"/>
      <c r="Y165" s="1005"/>
      <c r="Z165" s="969"/>
      <c r="AA165" s="971"/>
      <c r="AB165" s="971"/>
      <c r="AC165" s="971"/>
      <c r="AD165" s="1240"/>
      <c r="AE165" s="1240"/>
      <c r="AF165" s="1240"/>
      <c r="AG165" s="1240"/>
      <c r="AH165" s="1240"/>
      <c r="AI165" s="1240"/>
      <c r="AJ165" s="1240"/>
      <c r="AK165" s="1240"/>
      <c r="AL165" s="1240"/>
      <c r="AM165" s="1240"/>
      <c r="AN165" s="1240"/>
      <c r="AO165" s="1240"/>
      <c r="AP165" s="1240"/>
      <c r="AQ165" s="1240"/>
      <c r="AR165" s="1240"/>
    </row>
    <row r="166" spans="1:45" x14ac:dyDescent="0.25">
      <c r="A166" s="1239"/>
      <c r="B166" s="1239"/>
      <c r="C166" s="1006"/>
      <c r="D166" s="1006"/>
      <c r="E166" s="1006"/>
      <c r="F166" s="1006"/>
      <c r="G166" s="1006"/>
      <c r="H166" s="1006"/>
      <c r="I166" s="1006"/>
      <c r="J166" s="1006"/>
      <c r="K166" s="1006"/>
      <c r="L166" s="969"/>
      <c r="M166" s="969"/>
      <c r="N166" s="1005"/>
      <c r="O166" s="1005"/>
      <c r="P166" s="1005"/>
      <c r="Q166" s="1005"/>
      <c r="R166" s="1005"/>
      <c r="S166" s="1005"/>
      <c r="T166" s="1005"/>
      <c r="U166" s="1005"/>
      <c r="V166" s="1005"/>
      <c r="W166" s="1005"/>
      <c r="X166" s="1005"/>
      <c r="Y166" s="1005"/>
      <c r="Z166" s="969"/>
      <c r="AA166" s="971"/>
      <c r="AB166" s="971"/>
      <c r="AC166" s="971"/>
      <c r="AD166" s="1240"/>
      <c r="AE166" s="1240"/>
      <c r="AF166" s="1240"/>
      <c r="AG166" s="1240"/>
      <c r="AH166" s="1240"/>
      <c r="AI166" s="1240"/>
      <c r="AJ166" s="1240"/>
      <c r="AK166" s="1240"/>
      <c r="AL166" s="1240"/>
      <c r="AM166" s="1240"/>
      <c r="AN166" s="1240"/>
      <c r="AO166" s="1240"/>
      <c r="AP166" s="1240"/>
      <c r="AQ166" s="1240"/>
      <c r="AR166" s="1240"/>
    </row>
    <row r="167" spans="1:45" x14ac:dyDescent="0.25">
      <c r="A167" s="1239"/>
      <c r="B167" s="1239"/>
      <c r="C167" s="1006"/>
      <c r="D167" s="1006"/>
      <c r="E167" s="1006"/>
      <c r="F167" s="1006"/>
      <c r="G167" s="1006"/>
      <c r="H167" s="1006"/>
      <c r="I167" s="1006"/>
      <c r="J167" s="1006"/>
      <c r="K167" s="1006"/>
      <c r="L167" s="969"/>
      <c r="M167" s="969"/>
      <c r="N167" s="1005"/>
      <c r="O167" s="1005"/>
      <c r="P167" s="1005"/>
      <c r="Q167" s="1005"/>
      <c r="R167" s="1005"/>
      <c r="S167" s="1005"/>
      <c r="T167" s="1005"/>
      <c r="U167" s="1005"/>
      <c r="V167" s="1005"/>
      <c r="W167" s="1005"/>
      <c r="X167" s="1005"/>
      <c r="Y167" s="1005"/>
      <c r="Z167" s="969"/>
      <c r="AA167" s="971"/>
      <c r="AB167" s="971"/>
      <c r="AC167" s="971"/>
      <c r="AD167" s="1240"/>
      <c r="AE167" s="1240"/>
      <c r="AF167" s="1240"/>
      <c r="AG167" s="1240"/>
      <c r="AH167" s="1240"/>
      <c r="AI167" s="1240"/>
      <c r="AJ167" s="1240"/>
      <c r="AK167" s="1240"/>
      <c r="AL167" s="1240"/>
      <c r="AM167" s="1240"/>
      <c r="AN167" s="1240"/>
      <c r="AO167" s="1240"/>
      <c r="AP167" s="1240"/>
      <c r="AQ167" s="1240"/>
      <c r="AR167" s="1240"/>
    </row>
    <row r="168" spans="1:45" x14ac:dyDescent="0.25">
      <c r="A168" s="1239"/>
      <c r="B168" s="1239"/>
      <c r="C168" s="1006"/>
      <c r="D168" s="1006"/>
      <c r="E168" s="1006"/>
      <c r="F168" s="1006"/>
      <c r="G168" s="1006"/>
      <c r="H168" s="1006"/>
      <c r="I168" s="1006"/>
      <c r="J168" s="1006"/>
      <c r="K168" s="1006"/>
      <c r="L168" s="969"/>
      <c r="M168" s="969"/>
      <c r="N168" s="1005"/>
      <c r="O168" s="1005"/>
      <c r="P168" s="1005"/>
      <c r="Q168" s="1005"/>
      <c r="R168" s="1005"/>
      <c r="S168" s="1005"/>
      <c r="T168" s="1005"/>
      <c r="U168" s="1005"/>
      <c r="V168" s="1005"/>
      <c r="W168" s="1005"/>
      <c r="X168" s="1005"/>
      <c r="Y168" s="1005"/>
      <c r="Z168" s="969"/>
      <c r="AA168" s="971"/>
      <c r="AB168" s="971"/>
      <c r="AC168" s="971"/>
      <c r="AD168" s="1240"/>
      <c r="AE168" s="1240"/>
      <c r="AF168" s="1240"/>
      <c r="AG168" s="1240"/>
      <c r="AH168" s="1240"/>
      <c r="AI168" s="1240"/>
      <c r="AJ168" s="1240"/>
      <c r="AK168" s="1240"/>
      <c r="AL168" s="1240"/>
      <c r="AM168" s="1240"/>
      <c r="AN168" s="1240"/>
      <c r="AO168" s="1240"/>
      <c r="AP168" s="1240"/>
      <c r="AQ168" s="1240"/>
      <c r="AR168" s="1240"/>
    </row>
    <row r="169" spans="1:45" x14ac:dyDescent="0.25">
      <c r="A169" s="1239"/>
      <c r="B169" s="1239"/>
      <c r="C169" s="1006"/>
      <c r="D169" s="1006"/>
      <c r="E169" s="1006"/>
      <c r="F169" s="1006"/>
      <c r="G169" s="1006"/>
      <c r="H169" s="1006"/>
      <c r="I169" s="1006"/>
      <c r="J169" s="1006"/>
      <c r="K169" s="1006"/>
      <c r="L169" s="969"/>
      <c r="M169" s="969"/>
      <c r="N169" s="1005"/>
      <c r="O169" s="1005"/>
      <c r="P169" s="1005"/>
      <c r="Q169" s="1005"/>
      <c r="R169" s="1005"/>
      <c r="S169" s="1005"/>
      <c r="T169" s="1005"/>
      <c r="U169" s="1005"/>
      <c r="V169" s="1005"/>
      <c r="W169" s="1005"/>
      <c r="X169" s="1005"/>
      <c r="Y169" s="1005"/>
      <c r="Z169" s="969"/>
      <c r="AA169" s="971"/>
      <c r="AB169" s="971"/>
      <c r="AC169" s="971"/>
      <c r="AD169" s="1240"/>
      <c r="AE169" s="1240"/>
      <c r="AF169" s="1240"/>
      <c r="AG169" s="1240"/>
      <c r="AH169" s="1240"/>
      <c r="AI169" s="1240"/>
      <c r="AJ169" s="1240"/>
      <c r="AK169" s="1240"/>
      <c r="AL169" s="1240"/>
      <c r="AM169" s="1240"/>
      <c r="AN169" s="1240"/>
      <c r="AO169" s="1240"/>
      <c r="AP169" s="1240"/>
      <c r="AQ169" s="1240"/>
      <c r="AR169" s="1240"/>
    </row>
    <row r="170" spans="1:45" x14ac:dyDescent="0.25">
      <c r="A170" s="1239"/>
      <c r="B170" s="1239"/>
      <c r="C170" s="1006"/>
      <c r="D170" s="1006"/>
      <c r="E170" s="1006"/>
      <c r="F170" s="1006"/>
      <c r="G170" s="1006"/>
      <c r="H170" s="1006"/>
      <c r="I170" s="1006"/>
      <c r="J170" s="1006"/>
      <c r="K170" s="1006"/>
      <c r="L170" s="969"/>
      <c r="M170" s="969"/>
      <c r="N170" s="1005"/>
      <c r="O170" s="1005"/>
      <c r="P170" s="1005"/>
      <c r="Q170" s="1005"/>
      <c r="R170" s="1005"/>
      <c r="S170" s="1005"/>
      <c r="T170" s="1005"/>
      <c r="U170" s="1005"/>
      <c r="V170" s="1005"/>
      <c r="W170" s="1005"/>
      <c r="X170" s="1005"/>
      <c r="Y170" s="1005"/>
      <c r="Z170" s="969"/>
      <c r="AA170" s="971"/>
      <c r="AB170" s="971"/>
      <c r="AC170" s="971"/>
      <c r="AD170" s="1240"/>
      <c r="AE170" s="1240"/>
      <c r="AF170" s="1240"/>
      <c r="AG170" s="1240"/>
      <c r="AH170" s="1240"/>
      <c r="AI170" s="1240"/>
      <c r="AJ170" s="1240"/>
      <c r="AK170" s="1240"/>
      <c r="AL170" s="1240"/>
      <c r="AM170" s="1240"/>
      <c r="AN170" s="1240"/>
      <c r="AO170" s="1240"/>
      <c r="AP170" s="1240"/>
      <c r="AQ170" s="1240"/>
      <c r="AR170" s="1240"/>
    </row>
    <row r="171" spans="1:45" x14ac:dyDescent="0.25">
      <c r="A171" s="1239"/>
      <c r="B171" s="1239"/>
      <c r="C171" s="1006"/>
      <c r="D171" s="1006"/>
      <c r="E171" s="1006"/>
      <c r="F171" s="1006"/>
      <c r="G171" s="1006"/>
      <c r="H171" s="1006"/>
      <c r="I171" s="1006"/>
      <c r="J171" s="1006"/>
      <c r="K171" s="1006"/>
      <c r="L171" s="969"/>
      <c r="M171" s="969"/>
      <c r="N171" s="1005"/>
      <c r="O171" s="1005"/>
      <c r="P171" s="1005"/>
      <c r="Q171" s="1005"/>
      <c r="R171" s="1005"/>
      <c r="S171" s="1005"/>
      <c r="T171" s="1005"/>
      <c r="U171" s="1005"/>
      <c r="V171" s="1005"/>
      <c r="W171" s="1005"/>
      <c r="X171" s="1005"/>
      <c r="Y171" s="1005"/>
      <c r="Z171" s="969"/>
      <c r="AA171" s="971"/>
      <c r="AB171" s="971"/>
      <c r="AC171" s="971"/>
      <c r="AD171" s="1240"/>
      <c r="AE171" s="1240"/>
      <c r="AF171" s="1240"/>
      <c r="AG171" s="1240"/>
      <c r="AH171" s="1240"/>
      <c r="AI171" s="1240"/>
      <c r="AJ171" s="1240"/>
      <c r="AK171" s="1240"/>
      <c r="AL171" s="1240"/>
      <c r="AM171" s="1240"/>
      <c r="AN171" s="1240"/>
      <c r="AO171" s="1240"/>
      <c r="AP171" s="1240"/>
      <c r="AQ171" s="1240"/>
      <c r="AR171" s="1240"/>
    </row>
    <row r="172" spans="1:45" x14ac:dyDescent="0.25">
      <c r="A172" s="1239"/>
      <c r="B172" s="1239"/>
      <c r="C172" s="1006"/>
      <c r="D172" s="1006"/>
      <c r="E172" s="1006"/>
      <c r="F172" s="1006"/>
      <c r="G172" s="1006"/>
      <c r="H172" s="1006"/>
      <c r="I172" s="1006"/>
      <c r="J172" s="1006"/>
      <c r="K172" s="1006"/>
      <c r="L172" s="969"/>
      <c r="M172" s="969"/>
      <c r="N172" s="1005"/>
      <c r="O172" s="1005"/>
      <c r="P172" s="1005"/>
      <c r="Q172" s="1005"/>
      <c r="R172" s="1005"/>
      <c r="S172" s="1005"/>
      <c r="T172" s="1005"/>
      <c r="U172" s="1005"/>
      <c r="V172" s="1005"/>
      <c r="W172" s="1005"/>
      <c r="X172" s="1005"/>
      <c r="Y172" s="1005"/>
      <c r="Z172" s="969"/>
      <c r="AA172" s="971"/>
      <c r="AB172" s="971"/>
      <c r="AC172" s="971"/>
      <c r="AD172" s="1240"/>
      <c r="AE172" s="1240"/>
      <c r="AF172" s="1240"/>
      <c r="AG172" s="1240"/>
      <c r="AH172" s="1240"/>
      <c r="AI172" s="1240"/>
      <c r="AJ172" s="1240"/>
      <c r="AK172" s="1240"/>
      <c r="AL172" s="1240"/>
      <c r="AM172" s="1240"/>
      <c r="AN172" s="1240"/>
      <c r="AO172" s="1240"/>
      <c r="AP172" s="1240"/>
      <c r="AQ172" s="1240"/>
      <c r="AR172" s="1240"/>
    </row>
    <row r="173" spans="1:45" x14ac:dyDescent="0.25">
      <c r="A173" s="1239"/>
      <c r="B173" s="1239"/>
      <c r="C173" s="1006"/>
      <c r="D173" s="1006"/>
      <c r="E173" s="1006"/>
      <c r="F173" s="1006"/>
      <c r="G173" s="1006"/>
      <c r="H173" s="1006"/>
      <c r="I173" s="1006"/>
      <c r="J173" s="1006"/>
      <c r="K173" s="1006"/>
      <c r="L173" s="969"/>
      <c r="M173" s="969"/>
      <c r="N173" s="1005"/>
      <c r="O173" s="1005"/>
      <c r="P173" s="1005"/>
      <c r="Q173" s="1005"/>
      <c r="R173" s="1005"/>
      <c r="S173" s="1005"/>
      <c r="T173" s="1005"/>
      <c r="U173" s="1005"/>
      <c r="V173" s="1005"/>
      <c r="W173" s="1005"/>
      <c r="X173" s="1005"/>
      <c r="Y173" s="1005"/>
      <c r="Z173" s="969"/>
      <c r="AA173" s="971"/>
      <c r="AB173" s="971"/>
      <c r="AC173" s="971"/>
      <c r="AD173" s="1240"/>
      <c r="AE173" s="1240"/>
      <c r="AF173" s="1240"/>
      <c r="AG173" s="1240"/>
      <c r="AH173" s="1240"/>
      <c r="AI173" s="1240"/>
      <c r="AJ173" s="1240"/>
      <c r="AK173" s="1240"/>
      <c r="AL173" s="1240"/>
      <c r="AM173" s="1240"/>
      <c r="AN173" s="1240"/>
      <c r="AO173" s="1240"/>
      <c r="AP173" s="1240"/>
      <c r="AQ173" s="1240"/>
      <c r="AR173" s="1240"/>
    </row>
    <row r="174" spans="1:45" x14ac:dyDescent="0.25">
      <c r="A174" s="1239"/>
      <c r="B174" s="1239"/>
      <c r="C174" s="1006"/>
      <c r="D174" s="1006"/>
      <c r="E174" s="1006"/>
      <c r="F174" s="1006"/>
      <c r="G174" s="1006"/>
      <c r="H174" s="1006"/>
      <c r="I174" s="1006"/>
      <c r="J174" s="1006"/>
      <c r="K174" s="1006"/>
      <c r="L174" s="969"/>
      <c r="M174" s="969"/>
      <c r="N174" s="1005"/>
      <c r="O174" s="1005"/>
      <c r="P174" s="1005"/>
      <c r="Q174" s="1005"/>
      <c r="R174" s="1005"/>
      <c r="S174" s="1005"/>
      <c r="T174" s="1005"/>
      <c r="U174" s="1005"/>
      <c r="V174" s="1005"/>
      <c r="W174" s="1005"/>
      <c r="X174" s="1005"/>
      <c r="Y174" s="1005"/>
      <c r="Z174" s="969"/>
      <c r="AA174" s="971"/>
      <c r="AB174" s="971"/>
      <c r="AC174" s="971"/>
      <c r="AD174" s="1240"/>
      <c r="AE174" s="1240"/>
      <c r="AF174" s="1240"/>
      <c r="AG174" s="1240"/>
      <c r="AH174" s="1240"/>
      <c r="AI174" s="1240"/>
      <c r="AJ174" s="1240"/>
      <c r="AK174" s="1240"/>
      <c r="AL174" s="1240"/>
      <c r="AM174" s="1240"/>
      <c r="AN174" s="1240"/>
      <c r="AO174" s="1240"/>
      <c r="AP174" s="1240"/>
      <c r="AQ174" s="1240"/>
      <c r="AR174" s="1240"/>
    </row>
    <row r="175" spans="1:45" x14ac:dyDescent="0.25">
      <c r="A175" s="1239"/>
      <c r="B175" s="1239"/>
      <c r="C175" s="1006"/>
      <c r="D175" s="1006"/>
      <c r="E175" s="1006"/>
      <c r="F175" s="1006"/>
      <c r="G175" s="1006"/>
      <c r="H175" s="1006"/>
      <c r="I175" s="1006"/>
      <c r="J175" s="1006"/>
      <c r="K175" s="1006"/>
      <c r="L175" s="969"/>
      <c r="M175" s="969"/>
      <c r="N175" s="1005"/>
      <c r="O175" s="1005"/>
      <c r="P175" s="1005"/>
      <c r="Q175" s="1005"/>
      <c r="R175" s="1005"/>
      <c r="S175" s="1005"/>
      <c r="T175" s="1005"/>
      <c r="U175" s="1005"/>
      <c r="V175" s="1005"/>
      <c r="W175" s="1005"/>
      <c r="X175" s="1005"/>
      <c r="Y175" s="1005"/>
      <c r="Z175" s="969"/>
      <c r="AA175" s="971"/>
      <c r="AB175" s="971"/>
      <c r="AC175" s="971"/>
      <c r="AD175" s="1240"/>
      <c r="AE175" s="1240"/>
      <c r="AF175" s="1240"/>
      <c r="AG175" s="1240"/>
      <c r="AH175" s="1240"/>
      <c r="AI175" s="1240"/>
      <c r="AJ175" s="1240"/>
      <c r="AK175" s="1240"/>
      <c r="AL175" s="1240"/>
      <c r="AM175" s="1240"/>
      <c r="AN175" s="1240"/>
      <c r="AO175" s="1240"/>
      <c r="AP175" s="1240"/>
      <c r="AQ175" s="1240"/>
      <c r="AR175" s="1240"/>
    </row>
    <row r="176" spans="1:45" x14ac:dyDescent="0.25">
      <c r="A176" s="1239"/>
      <c r="B176" s="1239"/>
      <c r="C176" s="1006"/>
      <c r="D176" s="1006"/>
      <c r="E176" s="1006"/>
      <c r="F176" s="1006"/>
      <c r="G176" s="1006"/>
      <c r="H176" s="1006"/>
      <c r="I176" s="1006"/>
      <c r="J176" s="1006"/>
      <c r="K176" s="1006"/>
      <c r="L176" s="969"/>
      <c r="M176" s="969"/>
      <c r="N176" s="1005"/>
      <c r="O176" s="1005"/>
      <c r="P176" s="1005"/>
      <c r="Q176" s="1005"/>
      <c r="R176" s="1005"/>
      <c r="S176" s="1005"/>
      <c r="T176" s="1005"/>
      <c r="U176" s="1005"/>
      <c r="V176" s="1005"/>
      <c r="W176" s="1005"/>
      <c r="X176" s="1005"/>
      <c r="Y176" s="1005"/>
      <c r="Z176" s="969"/>
      <c r="AA176" s="971"/>
      <c r="AB176" s="971"/>
      <c r="AC176" s="971"/>
      <c r="AD176" s="1240"/>
      <c r="AE176" s="1240"/>
      <c r="AF176" s="1240"/>
      <c r="AG176" s="1240"/>
      <c r="AH176" s="1240"/>
      <c r="AI176" s="1240"/>
      <c r="AJ176" s="1240"/>
      <c r="AK176" s="1240"/>
      <c r="AL176" s="1240"/>
      <c r="AM176" s="1240"/>
      <c r="AN176" s="1240"/>
      <c r="AO176" s="1240"/>
      <c r="AP176" s="1240"/>
      <c r="AQ176" s="1240"/>
      <c r="AR176" s="1240"/>
    </row>
    <row r="177" spans="1:44" x14ac:dyDescent="0.25">
      <c r="A177" s="1239"/>
      <c r="B177" s="1256"/>
      <c r="C177" s="1256"/>
      <c r="D177" s="1256"/>
      <c r="E177" s="1256"/>
      <c r="F177" s="1256"/>
      <c r="G177" s="1256"/>
      <c r="H177" s="1256"/>
      <c r="I177" s="1256"/>
      <c r="J177" s="1256"/>
      <c r="K177" s="1256"/>
      <c r="L177" s="1256"/>
      <c r="M177" s="1256"/>
      <c r="N177" s="1256"/>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row>
  </sheetData>
  <autoFilter ref="A7:BD7"/>
  <mergeCells count="74">
    <mergeCell ref="A161:AS161"/>
    <mergeCell ref="A163:AR163"/>
    <mergeCell ref="AD164:AR164"/>
    <mergeCell ref="AD165:AR165"/>
    <mergeCell ref="AD166:AR166"/>
    <mergeCell ref="A165:B165"/>
    <mergeCell ref="A166:B166"/>
    <mergeCell ref="AW5:AW7"/>
    <mergeCell ref="AX5:AX7"/>
    <mergeCell ref="C6:F6"/>
    <mergeCell ref="G6:I6"/>
    <mergeCell ref="K6:M6"/>
    <mergeCell ref="Z6:Z7"/>
    <mergeCell ref="AA6:AA7"/>
    <mergeCell ref="AD6:AD7"/>
    <mergeCell ref="AE6:AG6"/>
    <mergeCell ref="AL6:AL7"/>
    <mergeCell ref="AM6:AM7"/>
    <mergeCell ref="AN6:AN7"/>
    <mergeCell ref="AO6:AO7"/>
    <mergeCell ref="AP6:AP7"/>
    <mergeCell ref="AQ6:AQ7"/>
    <mergeCell ref="AR6:AR7"/>
    <mergeCell ref="A1:AV1"/>
    <mergeCell ref="A2:AV2"/>
    <mergeCell ref="A3:AV3"/>
    <mergeCell ref="B5:AB5"/>
    <mergeCell ref="AD5:AR5"/>
    <mergeCell ref="AS5:AS7"/>
    <mergeCell ref="AT5:AT7"/>
    <mergeCell ref="AU5:AU7"/>
    <mergeCell ref="AV5:AV7"/>
    <mergeCell ref="V6:V7"/>
    <mergeCell ref="W6:W7"/>
    <mergeCell ref="A5:A7"/>
    <mergeCell ref="X6:X7"/>
    <mergeCell ref="Y6:Y7"/>
    <mergeCell ref="AH6:AH7"/>
    <mergeCell ref="AI6:AI7"/>
    <mergeCell ref="A177:AR177"/>
    <mergeCell ref="A171:B171"/>
    <mergeCell ref="A172:B172"/>
    <mergeCell ref="A173:B173"/>
    <mergeCell ref="AD171:AR171"/>
    <mergeCell ref="AD172:AR172"/>
    <mergeCell ref="AD173:AR173"/>
    <mergeCell ref="A174:B174"/>
    <mergeCell ref="A175:B175"/>
    <mergeCell ref="A176:B176"/>
    <mergeCell ref="AD174:AR174"/>
    <mergeCell ref="AD175:AR175"/>
    <mergeCell ref="AD176:AR176"/>
    <mergeCell ref="A168:B168"/>
    <mergeCell ref="A169:B169"/>
    <mergeCell ref="A170:B170"/>
    <mergeCell ref="AD168:AR168"/>
    <mergeCell ref="AD169:AR169"/>
    <mergeCell ref="AD170:AR170"/>
    <mergeCell ref="A167:B167"/>
    <mergeCell ref="AD167:AR167"/>
    <mergeCell ref="AK6:AK7"/>
    <mergeCell ref="A164:B164"/>
    <mergeCell ref="A160:B160"/>
    <mergeCell ref="AB6:AB7"/>
    <mergeCell ref="AC6:AC7"/>
    <mergeCell ref="N6:N7"/>
    <mergeCell ref="O6:O7"/>
    <mergeCell ref="P6:P7"/>
    <mergeCell ref="Q6:Q7"/>
    <mergeCell ref="R6:R7"/>
    <mergeCell ref="S6:S7"/>
    <mergeCell ref="B6:B7"/>
    <mergeCell ref="T6:T7"/>
    <mergeCell ref="U6:U7"/>
  </mergeCells>
  <pageMargins left="0.7" right="0.7" top="0.75" bottom="0.75" header="0.3" footer="0.3"/>
  <pageSetup paperSize="9" orientation="portrait" horizontalDpi="4294967295" verticalDpi="4294967295"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U91"/>
  <sheetViews>
    <sheetView showGridLines="0" zoomScale="98" zoomScaleNormal="98" workbookViewId="0">
      <selection activeCell="D22" sqref="D22:K22"/>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 min="7" max="9" width="12" bestFit="1" customWidth="1"/>
  </cols>
  <sheetData>
    <row r="1" spans="1:21" s="387" customFormat="1" ht="100.5" customHeight="1" thickBot="1" x14ac:dyDescent="0.3">
      <c r="A1" s="563"/>
      <c r="B1" s="1494"/>
      <c r="C1" s="1494"/>
      <c r="D1" s="1494"/>
      <c r="E1" s="1494"/>
      <c r="F1" s="1494"/>
      <c r="G1" s="1494"/>
      <c r="H1" s="1494"/>
      <c r="I1" s="1494"/>
      <c r="J1" s="1494"/>
      <c r="K1" s="149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0"/>
      <c r="K2" s="1401"/>
      <c r="L2"/>
      <c r="M2"/>
      <c r="N2"/>
      <c r="O2"/>
      <c r="P2"/>
      <c r="Q2"/>
      <c r="R2"/>
    </row>
    <row r="3" spans="1:21" s="388" customFormat="1" ht="16.5" customHeight="1" thickBot="1" x14ac:dyDescent="0.3">
      <c r="A3" s="1236" t="s">
        <v>841</v>
      </c>
      <c r="B3" s="1237"/>
      <c r="C3" s="1237"/>
      <c r="D3" s="1237"/>
      <c r="E3" s="1237"/>
      <c r="F3" s="1237"/>
      <c r="G3" s="1237"/>
      <c r="H3" s="1237"/>
      <c r="I3" s="1237"/>
      <c r="J3" s="1237"/>
      <c r="K3" s="1238"/>
      <c r="L3"/>
      <c r="M3"/>
      <c r="N3"/>
      <c r="O3"/>
      <c r="P3"/>
      <c r="Q3"/>
      <c r="R3"/>
    </row>
    <row r="4" spans="1:21" s="388" customFormat="1" ht="16.5" thickBot="1" x14ac:dyDescent="0.3">
      <c r="A4" s="1397" t="s">
        <v>62</v>
      </c>
      <c r="B4" s="1398"/>
      <c r="C4" s="1398"/>
      <c r="D4" s="1398"/>
      <c r="E4" s="405" t="str">
        <f>'Datos Generales'!C6</f>
        <v>2022-II</v>
      </c>
      <c r="F4" s="405"/>
      <c r="G4" s="405"/>
      <c r="H4" s="405"/>
      <c r="I4" s="405"/>
      <c r="J4" s="405"/>
      <c r="K4" s="406"/>
      <c r="L4"/>
      <c r="M4"/>
      <c r="N4"/>
      <c r="O4"/>
      <c r="P4"/>
      <c r="Q4"/>
      <c r="R4"/>
    </row>
    <row r="5" spans="1:21" ht="16.5" customHeight="1" thickBot="1" x14ac:dyDescent="0.3">
      <c r="A5" s="1236" t="s">
        <v>95</v>
      </c>
      <c r="B5" s="1237"/>
      <c r="C5" s="1237"/>
      <c r="D5" s="1237"/>
      <c r="E5" s="1237"/>
      <c r="F5" s="1237"/>
      <c r="G5" s="1237"/>
      <c r="H5" s="1237"/>
      <c r="I5" s="1237"/>
      <c r="J5" s="1237"/>
      <c r="K5" s="1238"/>
    </row>
    <row r="6" spans="1:21" x14ac:dyDescent="0.25">
      <c r="B6" s="1" t="s">
        <v>878</v>
      </c>
      <c r="C6" s="75"/>
      <c r="D6" s="5"/>
      <c r="E6" s="564">
        <f>+G18</f>
        <v>1580</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INFORMACION",+F19))</f>
        <v>1.2454090150250416</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S11" s="557"/>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61"/>
      <c r="F12" s="1461"/>
      <c r="G12" s="1461"/>
      <c r="H12" s="1461"/>
      <c r="I12" s="1461"/>
      <c r="J12" s="1461"/>
      <c r="K12" s="1461"/>
    </row>
    <row r="13" spans="1:21" ht="21.95" customHeight="1" x14ac:dyDescent="0.25">
      <c r="B13" s="356"/>
      <c r="C13" s="87"/>
      <c r="D13" s="171" t="s">
        <v>887</v>
      </c>
      <c r="E13" s="1457"/>
      <c r="F13" s="1457"/>
      <c r="G13" s="1457"/>
      <c r="H13" s="1457"/>
      <c r="I13" s="1457"/>
      <c r="J13" s="1457"/>
      <c r="K13" s="1457"/>
    </row>
    <row r="14" spans="1:21" ht="6.95" customHeight="1" thickBot="1" x14ac:dyDescent="0.3">
      <c r="B14" s="356"/>
      <c r="D14" s="5"/>
      <c r="E14" s="5"/>
      <c r="F14" s="5"/>
      <c r="G14" s="5"/>
      <c r="H14" s="5"/>
      <c r="I14" s="5"/>
      <c r="J14" s="5"/>
      <c r="K14" s="5"/>
    </row>
    <row r="15" spans="1:21" ht="15.6" customHeight="1" thickTop="1" thickBot="1" x14ac:dyDescent="0.3">
      <c r="B15" s="1478" t="s">
        <v>888</v>
      </c>
      <c r="C15" s="88"/>
      <c r="D15" s="1408" t="s">
        <v>1189</v>
      </c>
      <c r="E15" s="1409"/>
      <c r="F15" s="1409"/>
      <c r="G15" s="1409"/>
      <c r="H15" s="1409"/>
      <c r="I15" s="1409"/>
      <c r="J15" s="1409"/>
      <c r="K15" s="1410"/>
    </row>
    <row r="16" spans="1:21" ht="15.75" thickBot="1" x14ac:dyDescent="0.3">
      <c r="A16" s="188"/>
      <c r="B16" s="1403"/>
      <c r="C16" s="97" t="s">
        <v>842</v>
      </c>
      <c r="D16" s="43" t="s">
        <v>1190</v>
      </c>
      <c r="E16" s="43" t="s">
        <v>909</v>
      </c>
      <c r="F16" s="43" t="s">
        <v>910</v>
      </c>
      <c r="G16" s="43" t="s">
        <v>911</v>
      </c>
      <c r="H16" s="43" t="s">
        <v>912</v>
      </c>
      <c r="I16" s="180"/>
      <c r="J16" s="188"/>
      <c r="K16" s="21"/>
    </row>
    <row r="17" spans="2:11" ht="24.75" thickBot="1" x14ac:dyDescent="0.3">
      <c r="B17" s="1403"/>
      <c r="C17" s="2" t="s">
        <v>1017</v>
      </c>
      <c r="D17" s="40" t="s">
        <v>1191</v>
      </c>
      <c r="E17" s="206">
        <v>841</v>
      </c>
      <c r="F17" s="206">
        <v>599</v>
      </c>
      <c r="G17" s="591">
        <v>1730</v>
      </c>
      <c r="H17" s="206"/>
      <c r="I17" s="189"/>
      <c r="J17" s="188"/>
      <c r="K17" s="21"/>
    </row>
    <row r="18" spans="2:11" ht="24.75" thickBot="1" x14ac:dyDescent="0.3">
      <c r="B18" s="1403"/>
      <c r="C18" s="2" t="s">
        <v>1019</v>
      </c>
      <c r="D18" s="40" t="s">
        <v>1192</v>
      </c>
      <c r="E18" s="206">
        <v>841</v>
      </c>
      <c r="F18" s="591">
        <v>746</v>
      </c>
      <c r="G18" s="591">
        <v>1580</v>
      </c>
      <c r="H18" s="206"/>
      <c r="I18" s="189"/>
      <c r="J18" s="188"/>
      <c r="K18" s="21"/>
    </row>
    <row r="19" spans="2:11" ht="24.75" thickBot="1" x14ac:dyDescent="0.3">
      <c r="B19" s="1403"/>
      <c r="C19" s="2" t="s">
        <v>1021</v>
      </c>
      <c r="D19" s="40" t="s">
        <v>1193</v>
      </c>
      <c r="E19" s="185">
        <f>IFERROR(E18/E17,"N.A.")</f>
        <v>1</v>
      </c>
      <c r="F19" s="185">
        <f>IFERROR(F18/F17,"N.A.")</f>
        <v>1.2454090150250416</v>
      </c>
      <c r="G19" s="185">
        <f>IFERROR(G18/G17,"N.A.")</f>
        <v>0.91329479768786126</v>
      </c>
      <c r="H19" s="185" t="str">
        <f>IFERROR(H18/H17,"N.A.")</f>
        <v>N.A.</v>
      </c>
      <c r="I19" s="185"/>
      <c r="K19" s="21"/>
    </row>
    <row r="20" spans="2:11" x14ac:dyDescent="0.25">
      <c r="B20" s="216"/>
      <c r="C20" s="91"/>
      <c r="D20" s="1491" t="s">
        <v>1194</v>
      </c>
      <c r="E20" s="1492"/>
      <c r="F20" s="1492"/>
      <c r="G20" s="1492"/>
      <c r="H20" s="1492"/>
      <c r="I20" s="1492"/>
      <c r="J20" s="1492"/>
      <c r="K20" s="1493"/>
    </row>
    <row r="21" spans="2:11" x14ac:dyDescent="0.25">
      <c r="B21" s="216"/>
      <c r="C21" s="91"/>
      <c r="D21" s="1411" t="s">
        <v>1116</v>
      </c>
      <c r="E21" s="1412"/>
      <c r="F21" s="1412"/>
      <c r="G21" s="1412"/>
      <c r="H21" s="1412"/>
      <c r="I21" s="1412"/>
      <c r="J21" s="1412"/>
      <c r="K21" s="1413"/>
    </row>
    <row r="22" spans="2:11" x14ac:dyDescent="0.25">
      <c r="B22" s="216"/>
      <c r="C22" s="91"/>
      <c r="D22" s="1411" t="s">
        <v>1195</v>
      </c>
      <c r="E22" s="1412"/>
      <c r="F22" s="1412"/>
      <c r="G22" s="1412"/>
      <c r="H22" s="1412"/>
      <c r="I22" s="1412"/>
      <c r="J22" s="1412"/>
      <c r="K22" s="1413"/>
    </row>
    <row r="23" spans="2:11" ht="15.75" thickBot="1" x14ac:dyDescent="0.3">
      <c r="B23" s="216"/>
      <c r="C23" s="91"/>
      <c r="D23" s="1438" t="s">
        <v>1196</v>
      </c>
      <c r="E23" s="1439"/>
      <c r="F23" s="1439"/>
      <c r="G23" s="1439"/>
      <c r="H23" s="1439"/>
      <c r="I23" s="1439"/>
      <c r="J23" s="1439"/>
      <c r="K23" s="1440"/>
    </row>
    <row r="24" spans="2:11" ht="36.75" thickBot="1" x14ac:dyDescent="0.3">
      <c r="B24" s="216"/>
      <c r="C24" s="97" t="s">
        <v>842</v>
      </c>
      <c r="D24" s="43" t="s">
        <v>1118</v>
      </c>
      <c r="E24" s="43" t="s">
        <v>1197</v>
      </c>
      <c r="F24" s="43" t="s">
        <v>1198</v>
      </c>
      <c r="G24" s="43" t="s">
        <v>1199</v>
      </c>
      <c r="H24" s="43" t="s">
        <v>1200</v>
      </c>
      <c r="I24" s="43" t="s">
        <v>1122</v>
      </c>
      <c r="J24" s="43" t="s">
        <v>1123</v>
      </c>
      <c r="K24" s="43" t="s">
        <v>846</v>
      </c>
    </row>
    <row r="25" spans="2:11" s="188" customFormat="1" ht="15.75" thickBot="1" x14ac:dyDescent="0.3">
      <c r="B25" s="215"/>
      <c r="C25" s="8">
        <v>1</v>
      </c>
      <c r="D25" s="592" t="s">
        <v>2316</v>
      </c>
      <c r="E25" s="592"/>
      <c r="F25" s="591">
        <v>40</v>
      </c>
      <c r="G25" s="591">
        <v>900000000</v>
      </c>
      <c r="H25" s="591">
        <v>900000000</v>
      </c>
      <c r="I25" s="591">
        <v>900000000</v>
      </c>
      <c r="J25" s="591">
        <v>802783494</v>
      </c>
      <c r="K25" s="591"/>
    </row>
    <row r="26" spans="2:11" s="188" customFormat="1" ht="15.75" thickBot="1" x14ac:dyDescent="0.3">
      <c r="B26" s="215"/>
      <c r="C26" s="8">
        <v>2</v>
      </c>
      <c r="D26" s="592" t="s">
        <v>2318</v>
      </c>
      <c r="E26" s="592"/>
      <c r="F26" s="591">
        <v>40</v>
      </c>
      <c r="G26" s="591">
        <v>200000000</v>
      </c>
      <c r="H26" s="591">
        <v>200000000</v>
      </c>
      <c r="I26" s="591">
        <v>200000000</v>
      </c>
      <c r="J26" s="591">
        <v>200000000</v>
      </c>
      <c r="K26" s="591"/>
    </row>
    <row r="27" spans="2:11" s="188" customFormat="1" ht="15.75" thickBot="1" x14ac:dyDescent="0.3">
      <c r="B27" s="215"/>
      <c r="C27" s="8">
        <v>3</v>
      </c>
      <c r="D27" s="592" t="s">
        <v>2380</v>
      </c>
      <c r="E27" s="592"/>
      <c r="F27" s="591">
        <v>1100</v>
      </c>
      <c r="G27" s="591">
        <v>10508400000</v>
      </c>
      <c r="H27" s="591">
        <f>+G27</f>
        <v>10508400000</v>
      </c>
      <c r="I27" s="591">
        <v>10508400000</v>
      </c>
      <c r="J27" s="591">
        <v>8182003583</v>
      </c>
      <c r="K27" s="562"/>
    </row>
    <row r="28" spans="2:11" s="188" customFormat="1" ht="15.75" thickBot="1" x14ac:dyDescent="0.3">
      <c r="B28" s="215"/>
      <c r="C28" s="8">
        <v>4</v>
      </c>
      <c r="D28" s="592" t="s">
        <v>2382</v>
      </c>
      <c r="E28" s="592"/>
      <c r="F28" s="591">
        <v>400</v>
      </c>
      <c r="G28" s="591">
        <v>2401603346</v>
      </c>
      <c r="H28" s="591">
        <f>+G28</f>
        <v>2401603346</v>
      </c>
      <c r="I28" s="591">
        <v>2156299751</v>
      </c>
      <c r="J28" s="591">
        <v>0</v>
      </c>
      <c r="K28" s="562"/>
    </row>
    <row r="29" spans="2:11" ht="15.75" thickBot="1" x14ac:dyDescent="0.3">
      <c r="B29" s="46"/>
      <c r="C29" s="2"/>
      <c r="D29" s="40" t="s">
        <v>1016</v>
      </c>
      <c r="E29" s="40"/>
      <c r="F29" s="136">
        <f>SUM(F25:F28)</f>
        <v>1580</v>
      </c>
      <c r="G29" s="136">
        <f>SUM(G25:G28)</f>
        <v>14010003346</v>
      </c>
      <c r="H29" s="136">
        <f>SUM(H25:H28)</f>
        <v>14010003346</v>
      </c>
      <c r="I29" s="136">
        <f>SUM(I25:I28)</f>
        <v>13764699751</v>
      </c>
      <c r="J29" s="136">
        <f>SUM(J25:J28)</f>
        <v>9184787077</v>
      </c>
      <c r="K29" s="12"/>
    </row>
    <row r="30" spans="2:11" ht="24" customHeight="1" thickBot="1" x14ac:dyDescent="0.3">
      <c r="B30" s="71" t="s">
        <v>924</v>
      </c>
      <c r="C30" s="106"/>
      <c r="D30" s="1435" t="s">
        <v>1201</v>
      </c>
      <c r="E30" s="1436"/>
      <c r="F30" s="1436"/>
      <c r="G30" s="1436"/>
      <c r="H30" s="1436"/>
      <c r="I30" s="1436"/>
      <c r="J30" s="1436"/>
      <c r="K30" s="1437"/>
    </row>
    <row r="31" spans="2:11" ht="24" customHeight="1" thickBot="1" x14ac:dyDescent="0.3">
      <c r="B31" s="71" t="s">
        <v>926</v>
      </c>
      <c r="C31" s="106"/>
      <c r="D31" s="1435" t="s">
        <v>1202</v>
      </c>
      <c r="E31" s="1436"/>
      <c r="F31" s="1436"/>
      <c r="G31" s="1436"/>
      <c r="H31" s="1436"/>
      <c r="I31" s="1436"/>
      <c r="J31" s="1436"/>
      <c r="K31" s="1437"/>
    </row>
    <row r="32" spans="2:11" ht="15.75" thickBot="1" x14ac:dyDescent="0.3">
      <c r="B32" s="1"/>
      <c r="C32" s="75"/>
      <c r="D32" s="5"/>
      <c r="E32" s="5"/>
      <c r="F32" s="5"/>
      <c r="G32" s="5"/>
      <c r="H32" s="5"/>
      <c r="I32" s="5"/>
      <c r="J32" s="5"/>
      <c r="K32" s="5"/>
    </row>
    <row r="33" spans="2:11" ht="24" customHeight="1" thickBot="1" x14ac:dyDescent="0.3">
      <c r="B33" s="1426" t="s">
        <v>928</v>
      </c>
      <c r="C33" s="1427"/>
      <c r="D33" s="1427"/>
      <c r="E33" s="1428"/>
      <c r="F33" s="5"/>
      <c r="G33" s="5"/>
      <c r="H33" s="5"/>
      <c r="I33" s="5"/>
      <c r="J33" s="5"/>
      <c r="K33" s="5"/>
    </row>
    <row r="34" spans="2:11" ht="15.75" thickBot="1" x14ac:dyDescent="0.3">
      <c r="B34" s="1423">
        <v>1</v>
      </c>
      <c r="C34" s="93"/>
      <c r="D34" s="47" t="s">
        <v>929</v>
      </c>
      <c r="E34" s="30" t="s">
        <v>2093</v>
      </c>
      <c r="F34" s="5"/>
      <c r="G34" s="5"/>
      <c r="H34" s="5"/>
      <c r="I34" s="5"/>
      <c r="J34" s="5"/>
      <c r="K34" s="5"/>
    </row>
    <row r="35" spans="2:11" ht="15.75" thickBot="1" x14ac:dyDescent="0.3">
      <c r="B35" s="1424"/>
      <c r="C35" s="93"/>
      <c r="D35" s="40" t="s">
        <v>7</v>
      </c>
      <c r="E35" s="30" t="s">
        <v>2098</v>
      </c>
      <c r="F35" s="5"/>
      <c r="G35" s="5"/>
      <c r="H35" s="5"/>
      <c r="I35" s="5"/>
      <c r="J35" s="5"/>
      <c r="K35" s="5"/>
    </row>
    <row r="36" spans="2:11" ht="15.75" thickBot="1" x14ac:dyDescent="0.3">
      <c r="B36" s="1424"/>
      <c r="C36" s="93"/>
      <c r="D36" s="40" t="s">
        <v>930</v>
      </c>
      <c r="E36" s="30" t="s">
        <v>2107</v>
      </c>
      <c r="F36" s="5"/>
      <c r="G36" s="5"/>
      <c r="H36" s="5"/>
      <c r="I36" s="5"/>
      <c r="J36" s="5"/>
      <c r="K36" s="5"/>
    </row>
    <row r="37" spans="2:11" ht="15.75" thickBot="1" x14ac:dyDescent="0.3">
      <c r="B37" s="1424"/>
      <c r="C37" s="93"/>
      <c r="D37" s="40" t="s">
        <v>9</v>
      </c>
      <c r="E37" s="30" t="s">
        <v>2095</v>
      </c>
      <c r="F37" s="5"/>
      <c r="G37" s="5"/>
      <c r="H37" s="5"/>
      <c r="I37" s="5"/>
      <c r="J37" s="5"/>
      <c r="K37" s="5"/>
    </row>
    <row r="38" spans="2:11" ht="15.75" thickBot="1" x14ac:dyDescent="0.3">
      <c r="B38" s="1424"/>
      <c r="C38" s="93"/>
      <c r="D38" s="40" t="s">
        <v>11</v>
      </c>
      <c r="E38" s="30" t="s">
        <v>2108</v>
      </c>
      <c r="F38" s="5"/>
      <c r="G38" s="5"/>
      <c r="H38" s="5"/>
      <c r="I38" s="5"/>
      <c r="J38" s="5"/>
      <c r="K38" s="5"/>
    </row>
    <row r="39" spans="2:11" ht="15.75" thickBot="1" x14ac:dyDescent="0.3">
      <c r="B39" s="1424"/>
      <c r="C39" s="93"/>
      <c r="D39" s="40" t="s">
        <v>13</v>
      </c>
      <c r="E39" s="30">
        <v>6695278</v>
      </c>
      <c r="F39" s="5"/>
      <c r="G39" s="5"/>
      <c r="H39" s="5"/>
      <c r="I39" s="5"/>
      <c r="J39" s="5"/>
      <c r="K39" s="5"/>
    </row>
    <row r="40" spans="2:11" ht="15.75" thickBot="1" x14ac:dyDescent="0.3">
      <c r="B40" s="1425"/>
      <c r="C40" s="2"/>
      <c r="D40" s="40" t="s">
        <v>931</v>
      </c>
      <c r="E40" s="30" t="s">
        <v>2097</v>
      </c>
      <c r="F40" s="5"/>
      <c r="G40" s="5"/>
      <c r="H40" s="5"/>
      <c r="I40" s="5"/>
      <c r="J40" s="5"/>
      <c r="K40" s="5"/>
    </row>
    <row r="41" spans="2:11" ht="15.75" thickBot="1" x14ac:dyDescent="0.3">
      <c r="B41" s="1"/>
      <c r="C41" s="75"/>
      <c r="D41" s="5"/>
      <c r="E41" s="5"/>
      <c r="F41" s="5"/>
      <c r="G41" s="5"/>
      <c r="H41" s="5"/>
      <c r="I41" s="5"/>
      <c r="J41" s="5"/>
      <c r="K41" s="5"/>
    </row>
    <row r="42" spans="2:11" ht="15.75" thickBot="1" x14ac:dyDescent="0.3">
      <c r="B42" s="1426" t="s">
        <v>932</v>
      </c>
      <c r="C42" s="1427"/>
      <c r="D42" s="1427"/>
      <c r="E42" s="1428"/>
      <c r="F42" s="5"/>
      <c r="G42" s="5"/>
      <c r="H42" s="5"/>
      <c r="I42" s="5"/>
      <c r="J42" s="5"/>
      <c r="K42" s="5"/>
    </row>
    <row r="43" spans="2:11" ht="15.75" thickBot="1" x14ac:dyDescent="0.3">
      <c r="B43" s="1423">
        <v>1</v>
      </c>
      <c r="C43" s="93"/>
      <c r="D43" s="47" t="s">
        <v>929</v>
      </c>
      <c r="E43" s="217" t="s">
        <v>933</v>
      </c>
      <c r="F43" s="5"/>
      <c r="G43" s="5"/>
      <c r="H43" s="5"/>
      <c r="I43" s="5"/>
      <c r="J43" s="5"/>
      <c r="K43" s="5"/>
    </row>
    <row r="44" spans="2:11" ht="15.75" thickBot="1" x14ac:dyDescent="0.3">
      <c r="B44" s="1424"/>
      <c r="C44" s="93"/>
      <c r="D44" s="40" t="s">
        <v>7</v>
      </c>
      <c r="E44" s="217" t="s">
        <v>1025</v>
      </c>
      <c r="F44" s="5"/>
      <c r="G44" s="5"/>
      <c r="H44" s="5"/>
      <c r="I44" s="5"/>
      <c r="J44" s="5"/>
      <c r="K44" s="5"/>
    </row>
    <row r="45" spans="2:11" ht="15.75" thickBot="1" x14ac:dyDescent="0.3">
      <c r="B45" s="1424"/>
      <c r="C45" s="93"/>
      <c r="D45" s="40" t="s">
        <v>930</v>
      </c>
      <c r="E45" s="237"/>
      <c r="F45" s="5"/>
      <c r="G45" s="5"/>
      <c r="H45" s="5"/>
      <c r="I45" s="5"/>
      <c r="J45" s="5"/>
      <c r="K45" s="5"/>
    </row>
    <row r="46" spans="2:11" ht="15.75" thickBot="1" x14ac:dyDescent="0.3">
      <c r="B46" s="1424"/>
      <c r="C46" s="93"/>
      <c r="D46" s="40" t="s">
        <v>9</v>
      </c>
      <c r="E46" s="237"/>
      <c r="F46" s="5"/>
      <c r="G46" s="5"/>
      <c r="H46" s="5"/>
      <c r="I46" s="5"/>
      <c r="J46" s="5"/>
      <c r="K46" s="5"/>
    </row>
    <row r="47" spans="2:11" ht="15.75" thickBot="1" x14ac:dyDescent="0.3">
      <c r="B47" s="1424"/>
      <c r="C47" s="93"/>
      <c r="D47" s="40" t="s">
        <v>11</v>
      </c>
      <c r="E47" s="237"/>
      <c r="F47" s="5"/>
      <c r="G47" s="5"/>
      <c r="H47" s="5"/>
      <c r="I47" s="5"/>
      <c r="J47" s="5"/>
      <c r="K47" s="5"/>
    </row>
    <row r="48" spans="2:11" ht="15.75" thickBot="1" x14ac:dyDescent="0.3">
      <c r="B48" s="1424"/>
      <c r="C48" s="93"/>
      <c r="D48" s="40" t="s">
        <v>13</v>
      </c>
      <c r="E48" s="237"/>
      <c r="F48" s="5"/>
      <c r="G48" s="5"/>
      <c r="H48" s="5"/>
      <c r="I48" s="5"/>
      <c r="J48" s="5"/>
      <c r="K48" s="5"/>
    </row>
    <row r="49" spans="2:11" ht="15.75" thickBot="1" x14ac:dyDescent="0.3">
      <c r="B49" s="1425"/>
      <c r="C49" s="2"/>
      <c r="D49" s="40" t="s">
        <v>931</v>
      </c>
      <c r="E49" s="237"/>
      <c r="F49" s="5"/>
      <c r="G49" s="5"/>
      <c r="H49" s="5"/>
      <c r="I49" s="5"/>
      <c r="J49" s="5"/>
      <c r="K49" s="5"/>
    </row>
    <row r="50" spans="2:11" ht="15.75" thickBot="1" x14ac:dyDescent="0.3">
      <c r="B50" s="1"/>
      <c r="C50" s="75"/>
      <c r="D50" s="5"/>
      <c r="E50" s="5"/>
      <c r="F50" s="5"/>
      <c r="G50" s="5"/>
      <c r="H50" s="5"/>
      <c r="I50" s="5"/>
      <c r="J50" s="5"/>
      <c r="K50" s="5"/>
    </row>
    <row r="51" spans="2:11" ht="15" customHeight="1" thickBot="1" x14ac:dyDescent="0.3">
      <c r="B51" s="118" t="s">
        <v>935</v>
      </c>
      <c r="C51" s="119"/>
      <c r="D51" s="119"/>
      <c r="E51" s="120"/>
      <c r="G51" s="5"/>
      <c r="H51" s="5"/>
      <c r="I51" s="5"/>
      <c r="J51" s="5"/>
      <c r="K51" s="5"/>
    </row>
    <row r="52" spans="2:11" ht="24.75" thickBot="1" x14ac:dyDescent="0.3">
      <c r="B52" s="46" t="s">
        <v>936</v>
      </c>
      <c r="C52" s="40" t="s">
        <v>937</v>
      </c>
      <c r="D52" s="40" t="s">
        <v>938</v>
      </c>
      <c r="E52" s="40" t="s">
        <v>939</v>
      </c>
      <c r="F52" s="5"/>
      <c r="G52" s="5"/>
      <c r="H52" s="5"/>
      <c r="I52" s="5"/>
      <c r="J52" s="5"/>
    </row>
    <row r="53" spans="2:11" ht="72.75" thickBot="1" x14ac:dyDescent="0.3">
      <c r="B53" s="48">
        <v>42401</v>
      </c>
      <c r="C53" s="40">
        <v>0.01</v>
      </c>
      <c r="D53" s="49" t="s">
        <v>1203</v>
      </c>
      <c r="E53" s="40"/>
      <c r="F53" s="5"/>
      <c r="G53" s="5"/>
      <c r="H53" s="5"/>
      <c r="I53" s="5"/>
      <c r="J53" s="5"/>
    </row>
    <row r="54" spans="2:11" ht="15.75" thickBot="1" x14ac:dyDescent="0.3">
      <c r="B54" s="3"/>
      <c r="C54" s="94"/>
      <c r="D54" s="5"/>
      <c r="E54" s="5"/>
      <c r="F54" s="5"/>
      <c r="G54" s="5"/>
      <c r="H54" s="5"/>
      <c r="I54" s="5"/>
      <c r="J54" s="5"/>
      <c r="K54" s="5"/>
    </row>
    <row r="55" spans="2:11" ht="15.75" thickBot="1" x14ac:dyDescent="0.3">
      <c r="B55" s="4" t="s">
        <v>846</v>
      </c>
      <c r="C55" s="95"/>
      <c r="D55" s="5"/>
      <c r="E55" s="5"/>
      <c r="F55" s="5"/>
      <c r="G55" s="5"/>
      <c r="H55" s="5"/>
      <c r="I55" s="5"/>
      <c r="J55" s="5"/>
      <c r="K55" s="5"/>
    </row>
    <row r="56" spans="2:11" x14ac:dyDescent="0.25">
      <c r="B56" s="1471"/>
      <c r="C56" s="1472"/>
      <c r="D56" s="1472"/>
      <c r="E56" s="1472"/>
      <c r="F56" s="5"/>
      <c r="G56" s="5"/>
      <c r="H56" s="5"/>
      <c r="I56" s="5"/>
      <c r="J56" s="5"/>
      <c r="K56" s="5"/>
    </row>
    <row r="57" spans="2:11" x14ac:dyDescent="0.25">
      <c r="B57" s="1471"/>
      <c r="C57" s="1472"/>
      <c r="D57" s="1472"/>
      <c r="E57" s="1472"/>
      <c r="F57" s="5"/>
      <c r="G57" s="5"/>
      <c r="H57" s="5"/>
      <c r="I57" s="5"/>
      <c r="J57" s="5"/>
      <c r="K57" s="5"/>
    </row>
    <row r="58" spans="2:11" ht="15.75" thickBot="1" x14ac:dyDescent="0.3">
      <c r="B58" s="5"/>
      <c r="D58" s="5"/>
      <c r="E58" s="5"/>
      <c r="F58" s="5"/>
      <c r="G58" s="5"/>
      <c r="H58" s="5"/>
      <c r="I58" s="5"/>
      <c r="J58" s="5"/>
      <c r="K58" s="5"/>
    </row>
    <row r="59" spans="2:11" ht="24.75" thickBot="1" x14ac:dyDescent="0.3">
      <c r="B59" s="50" t="s">
        <v>941</v>
      </c>
      <c r="C59" s="96"/>
      <c r="D59" s="5"/>
      <c r="E59" s="5"/>
      <c r="F59" s="5"/>
      <c r="G59" s="5"/>
      <c r="H59" s="5"/>
      <c r="I59" s="5"/>
      <c r="J59" s="5"/>
      <c r="K59" s="5"/>
    </row>
    <row r="60" spans="2:11" ht="15.75" thickBot="1" x14ac:dyDescent="0.3">
      <c r="B60" s="37"/>
      <c r="C60" s="87"/>
      <c r="D60" s="5"/>
      <c r="E60" s="5"/>
      <c r="F60" s="5"/>
      <c r="G60" s="5"/>
      <c r="H60" s="5"/>
      <c r="I60" s="5"/>
      <c r="J60" s="5"/>
      <c r="K60" s="5"/>
    </row>
    <row r="61" spans="2:11" ht="60.75" thickBot="1" x14ac:dyDescent="0.3">
      <c r="B61" s="51" t="s">
        <v>942</v>
      </c>
      <c r="C61" s="97"/>
      <c r="D61" s="43" t="s">
        <v>1204</v>
      </c>
      <c r="E61" s="5"/>
      <c r="F61" s="5"/>
      <c r="G61" s="5"/>
      <c r="H61" s="5"/>
      <c r="I61" s="5"/>
      <c r="J61" s="5"/>
      <c r="K61" s="5"/>
    </row>
    <row r="62" spans="2:11" x14ac:dyDescent="0.25">
      <c r="B62" s="1423" t="s">
        <v>944</v>
      </c>
      <c r="C62" s="93"/>
      <c r="D62" s="52" t="s">
        <v>945</v>
      </c>
      <c r="E62" s="5"/>
      <c r="F62" s="5"/>
      <c r="G62" s="5"/>
      <c r="H62" s="5"/>
      <c r="I62" s="5"/>
      <c r="J62" s="5"/>
      <c r="K62" s="5"/>
    </row>
    <row r="63" spans="2:11" ht="72" x14ac:dyDescent="0.25">
      <c r="B63" s="1424"/>
      <c r="C63" s="93"/>
      <c r="D63" s="45" t="s">
        <v>1205</v>
      </c>
      <c r="E63" s="5"/>
      <c r="F63" s="5"/>
      <c r="G63" s="5"/>
      <c r="H63" s="5"/>
      <c r="I63" s="5"/>
      <c r="J63" s="5"/>
      <c r="K63" s="5"/>
    </row>
    <row r="64" spans="2:11" x14ac:dyDescent="0.25">
      <c r="B64" s="1424"/>
      <c r="C64" s="93"/>
      <c r="D64" s="52" t="s">
        <v>1206</v>
      </c>
      <c r="E64" s="5"/>
      <c r="F64" s="5"/>
      <c r="G64" s="5"/>
      <c r="H64" s="5"/>
      <c r="I64" s="5"/>
      <c r="J64" s="5"/>
      <c r="K64" s="5"/>
    </row>
    <row r="65" spans="2:11" x14ac:dyDescent="0.25">
      <c r="B65" s="1424"/>
      <c r="C65" s="93"/>
      <c r="D65" s="45" t="s">
        <v>1207</v>
      </c>
      <c r="E65" s="5"/>
      <c r="F65" s="5"/>
      <c r="G65" s="5"/>
      <c r="H65" s="5"/>
      <c r="I65" s="5"/>
      <c r="J65" s="5"/>
      <c r="K65" s="5"/>
    </row>
    <row r="66" spans="2:11" ht="60" x14ac:dyDescent="0.25">
      <c r="B66" s="1424"/>
      <c r="C66" s="93"/>
      <c r="D66" s="45" t="s">
        <v>1208</v>
      </c>
      <c r="E66" s="5"/>
      <c r="F66" s="5"/>
      <c r="G66" s="5"/>
      <c r="H66" s="5"/>
      <c r="I66" s="5"/>
      <c r="J66" s="5"/>
      <c r="K66" s="5"/>
    </row>
    <row r="67" spans="2:11" ht="252" x14ac:dyDescent="0.25">
      <c r="B67" s="1424"/>
      <c r="C67" s="93"/>
      <c r="D67" s="45" t="s">
        <v>1209</v>
      </c>
      <c r="E67" s="5"/>
      <c r="F67" s="5"/>
      <c r="G67" s="5"/>
      <c r="H67" s="5"/>
      <c r="I67" s="5"/>
      <c r="J67" s="5"/>
      <c r="K67" s="5"/>
    </row>
    <row r="68" spans="2:11" x14ac:dyDescent="0.25">
      <c r="B68" s="1424"/>
      <c r="C68" s="93"/>
      <c r="D68" s="52" t="s">
        <v>1172</v>
      </c>
      <c r="E68" s="5"/>
      <c r="F68" s="5"/>
      <c r="G68" s="5"/>
      <c r="H68" s="5"/>
      <c r="I68" s="5"/>
      <c r="J68" s="5"/>
      <c r="K68" s="5"/>
    </row>
    <row r="69" spans="2:11" ht="15.75" thickBot="1" x14ac:dyDescent="0.3">
      <c r="B69" s="1425"/>
      <c r="C69" s="2"/>
      <c r="D69" s="40" t="s">
        <v>1210</v>
      </c>
      <c r="E69" s="5"/>
      <c r="F69" s="5"/>
      <c r="G69" s="5"/>
      <c r="H69" s="5"/>
      <c r="I69" s="5"/>
      <c r="J69" s="5"/>
      <c r="K69" s="5"/>
    </row>
    <row r="70" spans="2:11" x14ac:dyDescent="0.25">
      <c r="B70" s="1423" t="s">
        <v>957</v>
      </c>
      <c r="C70" s="98"/>
      <c r="D70" s="1423"/>
      <c r="E70" s="5"/>
      <c r="F70" s="5"/>
      <c r="G70" s="5"/>
      <c r="H70" s="5"/>
      <c r="I70" s="5"/>
      <c r="J70" s="5"/>
      <c r="K70" s="5"/>
    </row>
    <row r="71" spans="2:11" ht="15.75" thickBot="1" x14ac:dyDescent="0.3">
      <c r="B71" s="1425"/>
      <c r="C71" s="99"/>
      <c r="D71" s="1425"/>
      <c r="E71" s="5"/>
      <c r="F71" s="5"/>
      <c r="G71" s="5"/>
      <c r="H71" s="5"/>
      <c r="I71" s="5"/>
      <c r="J71" s="5"/>
      <c r="K71" s="5"/>
    </row>
    <row r="72" spans="2:11" ht="180" x14ac:dyDescent="0.25">
      <c r="B72" s="1423" t="s">
        <v>958</v>
      </c>
      <c r="C72" s="93"/>
      <c r="D72" s="45" t="s">
        <v>1211</v>
      </c>
      <c r="E72" s="5"/>
      <c r="F72" s="5"/>
      <c r="G72" s="5"/>
      <c r="H72" s="5"/>
      <c r="I72" s="5"/>
      <c r="J72" s="5"/>
      <c r="K72" s="5"/>
    </row>
    <row r="73" spans="2:11" ht="120" x14ac:dyDescent="0.25">
      <c r="B73" s="1424"/>
      <c r="C73" s="93"/>
      <c r="D73" s="45" t="s">
        <v>1212</v>
      </c>
      <c r="E73" s="5"/>
      <c r="F73" s="5"/>
      <c r="G73" s="5"/>
      <c r="H73" s="5"/>
      <c r="I73" s="5"/>
      <c r="J73" s="5"/>
      <c r="K73" s="5"/>
    </row>
    <row r="74" spans="2:11" ht="120" x14ac:dyDescent="0.25">
      <c r="B74" s="1424"/>
      <c r="C74" s="93"/>
      <c r="D74" s="45" t="s">
        <v>1213</v>
      </c>
      <c r="E74" s="5"/>
      <c r="F74" s="5"/>
      <c r="G74" s="5"/>
      <c r="H74" s="5"/>
      <c r="I74" s="5"/>
      <c r="J74" s="5"/>
      <c r="K74" s="5"/>
    </row>
    <row r="75" spans="2:11" ht="84" x14ac:dyDescent="0.25">
      <c r="B75" s="1424"/>
      <c r="C75" s="93"/>
      <c r="D75" s="45" t="s">
        <v>1214</v>
      </c>
      <c r="E75" s="5"/>
      <c r="F75" s="5"/>
      <c r="G75" s="5"/>
      <c r="H75" s="5"/>
      <c r="I75" s="5"/>
      <c r="J75" s="5"/>
      <c r="K75" s="5"/>
    </row>
    <row r="76" spans="2:11" ht="72" x14ac:dyDescent="0.25">
      <c r="B76" s="1424"/>
      <c r="C76" s="93"/>
      <c r="D76" s="45" t="s">
        <v>1215</v>
      </c>
      <c r="E76" s="5"/>
      <c r="F76" s="5"/>
      <c r="G76" s="5"/>
      <c r="H76" s="5"/>
      <c r="I76" s="5"/>
      <c r="J76" s="5"/>
      <c r="K76" s="5"/>
    </row>
    <row r="77" spans="2:11" ht="192" x14ac:dyDescent="0.25">
      <c r="B77" s="1424"/>
      <c r="C77" s="93"/>
      <c r="D77" s="45" t="s">
        <v>1216</v>
      </c>
      <c r="E77" s="5"/>
      <c r="F77" s="5"/>
      <c r="G77" s="5"/>
      <c r="H77" s="5"/>
      <c r="I77" s="5"/>
      <c r="J77" s="5"/>
      <c r="K77" s="5"/>
    </row>
    <row r="78" spans="2:11" ht="108.75" thickBot="1" x14ac:dyDescent="0.3">
      <c r="B78" s="1425"/>
      <c r="C78" s="2"/>
      <c r="D78" s="40" t="s">
        <v>1217</v>
      </c>
      <c r="E78" s="5"/>
      <c r="F78" s="5"/>
      <c r="G78" s="5"/>
      <c r="H78" s="5"/>
      <c r="I78" s="5"/>
      <c r="J78" s="5"/>
      <c r="K78" s="5"/>
    </row>
    <row r="79" spans="2:11" ht="24" x14ac:dyDescent="0.25">
      <c r="B79" s="1423" t="s">
        <v>975</v>
      </c>
      <c r="C79" s="93"/>
      <c r="D79" s="52" t="s">
        <v>1218</v>
      </c>
      <c r="E79" s="5"/>
      <c r="F79" s="5"/>
      <c r="G79" s="5"/>
      <c r="H79" s="5"/>
      <c r="I79" s="5"/>
      <c r="J79" s="5"/>
      <c r="K79" s="5"/>
    </row>
    <row r="80" spans="2:11" x14ac:dyDescent="0.25">
      <c r="B80" s="1424"/>
      <c r="C80" s="93"/>
      <c r="D80" s="16"/>
      <c r="E80" s="5"/>
      <c r="F80" s="5"/>
      <c r="G80" s="5"/>
      <c r="H80" s="5"/>
      <c r="I80" s="5"/>
      <c r="J80" s="5"/>
      <c r="K80" s="5"/>
    </row>
    <row r="81" spans="2:11" x14ac:dyDescent="0.25">
      <c r="B81" s="1424"/>
      <c r="C81" s="93"/>
      <c r="D81" s="45" t="s">
        <v>976</v>
      </c>
      <c r="E81" s="5"/>
      <c r="F81" s="5"/>
      <c r="G81" s="5"/>
      <c r="H81" s="5"/>
      <c r="I81" s="5"/>
      <c r="J81" s="5"/>
      <c r="K81" s="5"/>
    </row>
    <row r="82" spans="2:11" ht="37.5" x14ac:dyDescent="0.25">
      <c r="B82" s="1424"/>
      <c r="C82" s="93"/>
      <c r="D82" s="45" t="s">
        <v>1219</v>
      </c>
      <c r="E82" s="5"/>
      <c r="F82" s="5"/>
      <c r="G82" s="5"/>
      <c r="H82" s="5"/>
      <c r="I82" s="5"/>
      <c r="J82" s="5"/>
      <c r="K82" s="5"/>
    </row>
    <row r="83" spans="2:11" ht="37.5" x14ac:dyDescent="0.25">
      <c r="B83" s="1424"/>
      <c r="C83" s="93"/>
      <c r="D83" s="45" t="s">
        <v>1220</v>
      </c>
      <c r="E83" s="5"/>
      <c r="F83" s="5"/>
      <c r="G83" s="5"/>
      <c r="H83" s="5"/>
      <c r="I83" s="5"/>
      <c r="J83" s="5"/>
      <c r="K83" s="5"/>
    </row>
    <row r="84" spans="2:11" ht="37.5" x14ac:dyDescent="0.25">
      <c r="B84" s="1424"/>
      <c r="C84" s="93"/>
      <c r="D84" s="45" t="s">
        <v>1221</v>
      </c>
      <c r="E84" s="5"/>
      <c r="F84" s="5"/>
      <c r="G84" s="5"/>
      <c r="H84" s="5"/>
      <c r="I84" s="5"/>
      <c r="J84" s="5"/>
      <c r="K84" s="5"/>
    </row>
    <row r="85" spans="2:11" ht="84" x14ac:dyDescent="0.25">
      <c r="B85" s="1424"/>
      <c r="C85" s="93"/>
      <c r="D85" s="53" t="s">
        <v>1142</v>
      </c>
      <c r="E85" s="5"/>
      <c r="F85" s="5"/>
      <c r="G85" s="5"/>
      <c r="H85" s="5"/>
      <c r="I85" s="5"/>
      <c r="J85" s="5"/>
      <c r="K85" s="5"/>
    </row>
    <row r="86" spans="2:11" x14ac:dyDescent="0.25">
      <c r="B86" s="1424"/>
      <c r="C86" s="93"/>
      <c r="D86" s="52" t="s">
        <v>1116</v>
      </c>
      <c r="E86" s="5"/>
      <c r="F86" s="5"/>
      <c r="G86" s="5"/>
      <c r="H86" s="5"/>
      <c r="I86" s="5"/>
      <c r="J86" s="5"/>
      <c r="K86" s="5"/>
    </row>
    <row r="87" spans="2:11" ht="36" x14ac:dyDescent="0.25">
      <c r="B87" s="1424"/>
      <c r="C87" s="93"/>
      <c r="D87" s="52" t="s">
        <v>1195</v>
      </c>
      <c r="E87" s="5"/>
      <c r="F87" s="5"/>
      <c r="G87" s="5"/>
      <c r="H87" s="5"/>
      <c r="I87" s="5"/>
      <c r="J87" s="5"/>
      <c r="K87" s="5"/>
    </row>
    <row r="88" spans="2:11" x14ac:dyDescent="0.25">
      <c r="B88" s="1424"/>
      <c r="C88" s="93"/>
      <c r="D88" s="16"/>
      <c r="E88" s="5"/>
      <c r="F88" s="5"/>
      <c r="G88" s="5"/>
      <c r="H88" s="5"/>
      <c r="I88" s="5"/>
      <c r="J88" s="5"/>
      <c r="K88" s="5"/>
    </row>
    <row r="89" spans="2:11" x14ac:dyDescent="0.25">
      <c r="B89" s="1424"/>
      <c r="C89" s="93"/>
      <c r="D89" s="45" t="s">
        <v>976</v>
      </c>
      <c r="E89" s="5"/>
      <c r="F89" s="5"/>
      <c r="G89" s="5"/>
      <c r="H89" s="5"/>
      <c r="I89" s="5"/>
      <c r="J89" s="5"/>
      <c r="K89" s="5"/>
    </row>
    <row r="90" spans="2:11" ht="37.5" x14ac:dyDescent="0.25">
      <c r="B90" s="1424"/>
      <c r="C90" s="93"/>
      <c r="D90" s="45" t="s">
        <v>1222</v>
      </c>
      <c r="E90" s="5"/>
      <c r="F90" s="5"/>
      <c r="G90" s="5"/>
      <c r="H90" s="5"/>
      <c r="I90" s="5"/>
      <c r="J90" s="5"/>
      <c r="K90" s="5"/>
    </row>
    <row r="91" spans="2:11" ht="62.25" thickBot="1" x14ac:dyDescent="0.3">
      <c r="B91" s="1425"/>
      <c r="C91" s="2"/>
      <c r="D91" s="40" t="s">
        <v>1223</v>
      </c>
      <c r="E91" s="5"/>
      <c r="F91" s="5"/>
      <c r="G91" s="5"/>
      <c r="H91" s="5"/>
      <c r="I91" s="5"/>
      <c r="J91" s="5"/>
      <c r="K91" s="5"/>
    </row>
  </sheetData>
  <mergeCells count="26">
    <mergeCell ref="A4:D4"/>
    <mergeCell ref="B1:K1"/>
    <mergeCell ref="A2:K2"/>
    <mergeCell ref="A3:K3"/>
    <mergeCell ref="A5:K5"/>
    <mergeCell ref="B72:B78"/>
    <mergeCell ref="B79:B91"/>
    <mergeCell ref="B56:E57"/>
    <mergeCell ref="D15:K15"/>
    <mergeCell ref="D20:K20"/>
    <mergeCell ref="D21:K21"/>
    <mergeCell ref="D22:K22"/>
    <mergeCell ref="B15:B19"/>
    <mergeCell ref="B43:B49"/>
    <mergeCell ref="D23:K23"/>
    <mergeCell ref="D30:K30"/>
    <mergeCell ref="D31:K31"/>
    <mergeCell ref="B33:E33"/>
    <mergeCell ref="B34:B40"/>
    <mergeCell ref="B42:E42"/>
    <mergeCell ref="B10:D10"/>
    <mergeCell ref="E12:K12"/>
    <mergeCell ref="E13:K13"/>
    <mergeCell ref="B62:B69"/>
    <mergeCell ref="B70:B71"/>
    <mergeCell ref="D70:D71"/>
  </mergeCells>
  <conditionalFormatting sqref="F10">
    <cfRule type="notContainsBlanks" dxfId="100" priority="4">
      <formula>LEN(TRIM(F10))&gt;0</formula>
    </cfRule>
  </conditionalFormatting>
  <conditionalFormatting sqref="F11:K11 S11">
    <cfRule type="expression" dxfId="99" priority="2">
      <formula>E11="NO SE REPORTA"</formula>
    </cfRule>
    <cfRule type="expression" dxfId="98" priority="3">
      <formula>E10="NO APLICA"</formula>
    </cfRule>
  </conditionalFormatting>
  <conditionalFormatting sqref="E12">
    <cfRule type="expression" dxfId="97" priority="1">
      <formula>E11="SI SE REPORTA"</formula>
    </cfRule>
  </conditionalFormatting>
  <dataValidations count="7">
    <dataValidation type="whole" operator="greaterThanOrEqual" allowBlank="1" showInputMessage="1" showErrorMessage="1" errorTitle="ERROR" error="Valor en PESOS (sin centavos)" sqref="G25:J28">
      <formula1>0</formula1>
    </dataValidation>
    <dataValidation type="whole" operator="greaterThanOrEqual" allowBlank="1" showInputMessage="1" showErrorMessage="1" errorTitle="ERROR" error="Valor en HECTAREAS (sin decimales)_x000a_" sqref="E17:H18">
      <formula1>0</formula1>
    </dataValidation>
    <dataValidation allowBlank="1" showInputMessage="1" showErrorMessage="1" promptTitle="OJO" prompt="NO TOCAR" sqref="F29:J29"/>
    <dataValidation allowBlank="1" showInputMessage="1" showErrorMessage="1" sqref="E19:H19"/>
    <dataValidation type="list" allowBlank="1" showInputMessage="1" showErrorMessage="1" sqref="E11">
      <formula1>REPORTE</formula1>
    </dataValidation>
    <dataValidation type="list" allowBlank="1" showInputMessage="1" showErrorMessage="1" sqref="E10">
      <formula1>SI</formula1>
    </dataValidation>
    <dataValidation type="whole" operator="greaterThanOrEqual" allowBlank="1" showInputMessage="1" showErrorMessage="1" errorTitle="ERROR" error="Valor en HECTAREAS (sin decimales)" sqref="F25:F28">
      <formula1>0</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U144"/>
  <sheetViews>
    <sheetView showGridLines="0" topLeftCell="B1" zoomScale="98" zoomScaleNormal="98" workbookViewId="0">
      <selection activeCell="D23" sqref="D2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409"/>
      <c r="B1" s="1392"/>
      <c r="C1" s="1392"/>
      <c r="D1" s="1392"/>
      <c r="E1" s="1392"/>
      <c r="F1" s="1392"/>
      <c r="G1" s="1392"/>
      <c r="H1" s="1392"/>
      <c r="I1" s="1392"/>
      <c r="J1" s="1393"/>
      <c r="K1" s="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1"/>
      <c r="K2" s="5"/>
      <c r="L2"/>
      <c r="M2"/>
      <c r="N2"/>
      <c r="O2"/>
      <c r="P2"/>
      <c r="Q2"/>
      <c r="R2"/>
    </row>
    <row r="3" spans="1:21" s="388" customFormat="1" ht="16.5" customHeight="1" thickBot="1" x14ac:dyDescent="0.3">
      <c r="A3" s="1236" t="s">
        <v>841</v>
      </c>
      <c r="B3" s="1237"/>
      <c r="C3" s="1237"/>
      <c r="D3" s="1237"/>
      <c r="E3" s="1237"/>
      <c r="F3" s="1237"/>
      <c r="G3" s="1237"/>
      <c r="H3" s="1237"/>
      <c r="I3" s="1237"/>
      <c r="J3" s="1238"/>
      <c r="K3" s="5"/>
      <c r="L3"/>
      <c r="M3"/>
      <c r="N3"/>
      <c r="O3"/>
      <c r="P3"/>
      <c r="Q3"/>
      <c r="R3"/>
    </row>
    <row r="4" spans="1:21" s="388" customFormat="1" ht="16.5" thickBot="1" x14ac:dyDescent="0.3">
      <c r="A4" s="1397" t="s">
        <v>62</v>
      </c>
      <c r="B4" s="1398"/>
      <c r="C4" s="1398"/>
      <c r="D4" s="1398"/>
      <c r="E4" s="405" t="str">
        <f>'Datos Generales'!C6</f>
        <v>2022-II</v>
      </c>
      <c r="F4" s="405"/>
      <c r="G4" s="405"/>
      <c r="H4" s="405"/>
      <c r="I4" s="405"/>
      <c r="J4" s="406"/>
      <c r="K4" s="5"/>
      <c r="L4"/>
      <c r="M4"/>
      <c r="N4"/>
      <c r="O4"/>
      <c r="P4"/>
      <c r="Q4"/>
      <c r="R4"/>
    </row>
    <row r="5" spans="1:21" ht="16.5" customHeight="1" thickBot="1" x14ac:dyDescent="0.3">
      <c r="A5" s="1236" t="s">
        <v>97</v>
      </c>
      <c r="B5" s="1237"/>
      <c r="C5" s="1237"/>
      <c r="D5" s="1237"/>
      <c r="E5" s="1237"/>
      <c r="F5" s="1237"/>
      <c r="G5" s="1237"/>
      <c r="H5" s="1237"/>
      <c r="I5" s="1237"/>
      <c r="J5" s="1238"/>
      <c r="K5" s="5"/>
    </row>
    <row r="6" spans="1:21" x14ac:dyDescent="0.25">
      <c r="B6" s="223"/>
      <c r="C6" s="224"/>
      <c r="D6" s="5"/>
      <c r="E6" s="5"/>
      <c r="F6" s="5"/>
      <c r="G6" s="5"/>
      <c r="H6" s="5"/>
      <c r="I6" s="5"/>
      <c r="J6" s="5"/>
      <c r="K6" s="5"/>
    </row>
    <row r="7" spans="1:21" x14ac:dyDescent="0.25">
      <c r="B7" s="1" t="s">
        <v>878</v>
      </c>
      <c r="C7" s="75"/>
      <c r="D7" s="5"/>
      <c r="E7" s="73"/>
      <c r="F7" s="5" t="s">
        <v>879</v>
      </c>
      <c r="G7" s="5"/>
      <c r="H7" s="5"/>
      <c r="I7" s="5"/>
      <c r="J7" s="5"/>
      <c r="K7" s="5"/>
    </row>
    <row r="8" spans="1:21" ht="15.75" thickBot="1" x14ac:dyDescent="0.3">
      <c r="B8" s="74"/>
      <c r="C8" s="76"/>
      <c r="D8" s="5"/>
      <c r="E8" s="17"/>
      <c r="F8" s="5" t="s">
        <v>880</v>
      </c>
      <c r="G8" s="5"/>
      <c r="H8" s="5"/>
      <c r="I8" s="5"/>
      <c r="J8" s="5"/>
      <c r="K8" s="5"/>
    </row>
    <row r="9" spans="1:21" ht="15.75" thickBot="1" x14ac:dyDescent="0.3">
      <c r="B9" s="171" t="s">
        <v>881</v>
      </c>
      <c r="C9" s="210">
        <v>2022</v>
      </c>
      <c r="D9" s="214" t="str">
        <f>IF(E11="NO APLICA","NO APLICA",IF(E12="NO SE REPORTA","SIN INFORMACION",+F85))</f>
        <v>N.A.</v>
      </c>
      <c r="E9" s="211"/>
      <c r="F9" s="5" t="s">
        <v>882</v>
      </c>
      <c r="G9" s="5"/>
      <c r="H9" s="5"/>
      <c r="I9" s="5"/>
      <c r="J9" s="5"/>
      <c r="K9" s="5"/>
    </row>
    <row r="10" spans="1:21" x14ac:dyDescent="0.25">
      <c r="B10" s="356" t="s">
        <v>883</v>
      </c>
      <c r="C10" s="75"/>
      <c r="D10" s="5"/>
      <c r="E10" s="5"/>
      <c r="F10" s="5"/>
      <c r="G10" s="5"/>
      <c r="H10" s="5"/>
      <c r="I10" s="5"/>
      <c r="J10" s="5"/>
      <c r="K10" s="5"/>
    </row>
    <row r="11" spans="1:21" x14ac:dyDescent="0.25">
      <c r="B11" s="1447" t="s">
        <v>884</v>
      </c>
      <c r="C11" s="1447"/>
      <c r="D11" s="1447"/>
      <c r="E11" s="359" t="s">
        <v>885</v>
      </c>
      <c r="F11" s="554"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555"/>
      <c r="H11" s="555"/>
      <c r="I11" s="555"/>
      <c r="J11" s="555"/>
      <c r="K11" s="5"/>
      <c r="S11" s="555"/>
      <c r="T11" s="5"/>
      <c r="U11" s="5"/>
    </row>
    <row r="12" spans="1:21" ht="14.45" customHeight="1" x14ac:dyDescent="0.25">
      <c r="B12" s="358"/>
      <c r="C12" s="87"/>
      <c r="D12" s="171" t="str">
        <f>IF(E11="SI APLICA","¿El indicador no se reporta por limitaciones de información disponible? ","")</f>
        <v xml:space="preserve">¿El indicador no se reporta por limitaciones de información disponible? </v>
      </c>
      <c r="E12" s="553" t="s">
        <v>886</v>
      </c>
      <c r="F12" s="556"/>
      <c r="G12" s="557"/>
      <c r="H12" s="557"/>
      <c r="I12" s="557"/>
      <c r="J12" s="557"/>
      <c r="K12" s="5"/>
      <c r="S12" s="557"/>
    </row>
    <row r="13" spans="1:21" ht="23.45" customHeight="1" x14ac:dyDescent="0.25">
      <c r="B13" s="356"/>
      <c r="C13" s="87"/>
      <c r="D13" s="171" t="str">
        <f>IF(E12="SI SE REPORTA","¿Qué programas o proyectos del Plan de Acción están asociados al indicador? ","")</f>
        <v xml:space="preserve">¿Qué programas o proyectos del Plan de Acción están asociados al indicador? </v>
      </c>
      <c r="E13" s="1461"/>
      <c r="F13" s="1461"/>
      <c r="G13" s="1461"/>
      <c r="H13" s="1461"/>
      <c r="I13" s="1461"/>
      <c r="J13" s="1461"/>
      <c r="K13" s="5"/>
    </row>
    <row r="14" spans="1:21" ht="43.5" customHeight="1" x14ac:dyDescent="0.25">
      <c r="B14" s="356"/>
      <c r="C14" s="87"/>
      <c r="D14" s="171" t="s">
        <v>887</v>
      </c>
      <c r="E14" s="1457" t="s">
        <v>2647</v>
      </c>
      <c r="F14" s="1457"/>
      <c r="G14" s="1457"/>
      <c r="H14" s="1457"/>
      <c r="I14" s="1457"/>
      <c r="J14" s="1457"/>
      <c r="K14" s="5"/>
    </row>
    <row r="15" spans="1:21" ht="6.95" customHeight="1" thickBot="1" x14ac:dyDescent="0.3">
      <c r="B15" s="356"/>
      <c r="C15" s="75"/>
      <c r="D15" s="5"/>
      <c r="E15" s="5"/>
      <c r="F15" s="5"/>
      <c r="G15" s="5"/>
      <c r="H15" s="5"/>
      <c r="I15" s="5"/>
      <c r="J15" s="5"/>
      <c r="K15" s="5"/>
    </row>
    <row r="16" spans="1:21" ht="15" customHeight="1" thickBot="1" x14ac:dyDescent="0.3">
      <c r="B16" s="1423" t="s">
        <v>888</v>
      </c>
      <c r="C16" s="88"/>
      <c r="D16" s="229" t="s">
        <v>1189</v>
      </c>
      <c r="E16" s="230"/>
      <c r="F16" s="230"/>
      <c r="G16" s="230"/>
      <c r="H16" s="230"/>
      <c r="I16" s="230"/>
      <c r="J16" s="62"/>
      <c r="K16" s="5"/>
    </row>
    <row r="17" spans="2:11" x14ac:dyDescent="0.25">
      <c r="B17" s="1424"/>
      <c r="C17" s="1485" t="s">
        <v>842</v>
      </c>
      <c r="D17" s="1489" t="s">
        <v>1015</v>
      </c>
      <c r="E17" s="1504" t="s">
        <v>1224</v>
      </c>
      <c r="F17" s="1500" t="s">
        <v>1225</v>
      </c>
      <c r="G17" s="1504" t="s">
        <v>1016</v>
      </c>
      <c r="H17" s="5"/>
      <c r="J17" s="21"/>
      <c r="K17" s="5"/>
    </row>
    <row r="18" spans="2:11" ht="15.75" thickBot="1" x14ac:dyDescent="0.3">
      <c r="B18" s="1424"/>
      <c r="C18" s="1486"/>
      <c r="D18" s="1490"/>
      <c r="E18" s="1505"/>
      <c r="F18" s="1501"/>
      <c r="G18" s="1505"/>
      <c r="H18" s="5"/>
      <c r="J18" s="21"/>
      <c r="K18" s="5"/>
    </row>
    <row r="19" spans="2:11" ht="24.75" thickBot="1" x14ac:dyDescent="0.3">
      <c r="B19" s="1424"/>
      <c r="C19" s="2" t="s">
        <v>1017</v>
      </c>
      <c r="D19" s="40" t="s">
        <v>2662</v>
      </c>
      <c r="E19" s="205"/>
      <c r="F19" s="205"/>
      <c r="G19" s="134">
        <f t="shared" ref="G19:G24" si="0">+E19+F19</f>
        <v>0</v>
      </c>
      <c r="H19" s="5"/>
      <c r="J19" s="21"/>
      <c r="K19" s="5"/>
    </row>
    <row r="20" spans="2:11" ht="24.75" thickBot="1" x14ac:dyDescent="0.3">
      <c r="B20" s="1424"/>
      <c r="C20" s="2" t="s">
        <v>1019</v>
      </c>
      <c r="D20" s="40" t="s">
        <v>2663</v>
      </c>
      <c r="E20" s="206"/>
      <c r="F20" s="206"/>
      <c r="G20" s="134">
        <f t="shared" si="0"/>
        <v>0</v>
      </c>
      <c r="H20" s="5"/>
      <c r="J20" s="21"/>
      <c r="K20" s="5"/>
    </row>
    <row r="21" spans="2:11" ht="36.75" thickBot="1" x14ac:dyDescent="0.3">
      <c r="B21" s="1424"/>
      <c r="C21" s="2" t="s">
        <v>1021</v>
      </c>
      <c r="D21" s="40" t="s">
        <v>1226</v>
      </c>
      <c r="E21" s="206"/>
      <c r="F21" s="206"/>
      <c r="G21" s="134">
        <f t="shared" si="0"/>
        <v>0</v>
      </c>
      <c r="H21" s="5"/>
      <c r="J21" s="21"/>
      <c r="K21" s="5"/>
    </row>
    <row r="22" spans="2:11" ht="36.75" thickBot="1" x14ac:dyDescent="0.3">
      <c r="B22" s="1424"/>
      <c r="C22" s="2" t="s">
        <v>1103</v>
      </c>
      <c r="D22" s="332" t="s">
        <v>1227</v>
      </c>
      <c r="E22" s="206">
        <v>0</v>
      </c>
      <c r="F22" s="206">
        <v>0</v>
      </c>
      <c r="G22" s="134">
        <f t="shared" si="0"/>
        <v>0</v>
      </c>
      <c r="H22" s="5"/>
      <c r="J22" s="21"/>
      <c r="K22" s="5"/>
    </row>
    <row r="23" spans="2:11" ht="48.75" thickBot="1" x14ac:dyDescent="0.3">
      <c r="B23" s="1424"/>
      <c r="C23" s="2" t="s">
        <v>1105</v>
      </c>
      <c r="D23" s="40" t="s">
        <v>1228</v>
      </c>
      <c r="E23" s="205"/>
      <c r="F23" s="205"/>
      <c r="G23" s="271">
        <f t="shared" si="0"/>
        <v>0</v>
      </c>
      <c r="H23" s="5"/>
      <c r="J23" s="21"/>
      <c r="K23" s="5"/>
    </row>
    <row r="24" spans="2:11" ht="48.75" thickBot="1" x14ac:dyDescent="0.3">
      <c r="B24" s="1424"/>
      <c r="C24" s="2" t="s">
        <v>1107</v>
      </c>
      <c r="D24" s="40" t="s">
        <v>1229</v>
      </c>
      <c r="E24" s="134">
        <f>+E21+E22</f>
        <v>0</v>
      </c>
      <c r="F24" s="134">
        <f>+F21+F22</f>
        <v>0</v>
      </c>
      <c r="G24" s="134">
        <f t="shared" si="0"/>
        <v>0</v>
      </c>
      <c r="H24" s="5"/>
      <c r="J24" s="21"/>
      <c r="K24" s="5"/>
    </row>
    <row r="25" spans="2:11" ht="24" customHeight="1" x14ac:dyDescent="0.25">
      <c r="B25" s="1424"/>
      <c r="C25" s="91"/>
      <c r="D25" s="1502" t="s">
        <v>1230</v>
      </c>
      <c r="E25" s="1503"/>
      <c r="F25" s="1503"/>
      <c r="G25" s="1503"/>
      <c r="H25" s="1503"/>
      <c r="I25" s="1503"/>
      <c r="J25" s="21"/>
    </row>
    <row r="26" spans="2:11" x14ac:dyDescent="0.25">
      <c r="B26" s="1424"/>
      <c r="C26" s="91"/>
      <c r="D26" s="272" t="s">
        <v>1231</v>
      </c>
      <c r="E26" s="3"/>
      <c r="F26" s="3"/>
      <c r="G26" s="3"/>
      <c r="H26" s="3"/>
      <c r="I26" s="3"/>
      <c r="J26" s="21"/>
    </row>
    <row r="27" spans="2:11" ht="15.75" thickBot="1" x14ac:dyDescent="0.3">
      <c r="B27" s="1424"/>
      <c r="C27" s="91"/>
      <c r="D27" s="1414" t="s">
        <v>1232</v>
      </c>
      <c r="E27" s="1415"/>
      <c r="F27" s="1415"/>
      <c r="G27" s="1415"/>
      <c r="H27" s="1415"/>
      <c r="I27" s="1415"/>
      <c r="J27" s="1416"/>
    </row>
    <row r="28" spans="2:11" ht="15.75" thickBot="1" x14ac:dyDescent="0.3">
      <c r="B28" s="1424"/>
      <c r="C28" s="93"/>
      <c r="D28" s="38" t="s">
        <v>1015</v>
      </c>
      <c r="E28" s="38" t="s">
        <v>909</v>
      </c>
      <c r="F28" s="38" t="s">
        <v>910</v>
      </c>
      <c r="G28" s="38" t="s">
        <v>911</v>
      </c>
      <c r="H28" s="38" t="s">
        <v>912</v>
      </c>
      <c r="I28" s="38" t="s">
        <v>1016</v>
      </c>
      <c r="J28" s="21"/>
    </row>
    <row r="29" spans="2:11" ht="15.75" thickBot="1" x14ac:dyDescent="0.3">
      <c r="B29" s="1424"/>
      <c r="C29" s="93"/>
      <c r="D29" s="39" t="s">
        <v>1233</v>
      </c>
      <c r="E29" s="205">
        <v>0</v>
      </c>
      <c r="F29" s="205">
        <v>0</v>
      </c>
      <c r="G29" s="205">
        <v>0</v>
      </c>
      <c r="H29" s="205">
        <v>0</v>
      </c>
      <c r="I29" s="136">
        <f>SUM(E29:H29)</f>
        <v>0</v>
      </c>
      <c r="J29" s="21"/>
    </row>
    <row r="30" spans="2:11" ht="15.75" thickBot="1" x14ac:dyDescent="0.3">
      <c r="B30" s="1424"/>
      <c r="C30" s="93"/>
      <c r="D30" s="39" t="s">
        <v>1234</v>
      </c>
      <c r="E30" s="205"/>
      <c r="F30" s="205"/>
      <c r="G30" s="205"/>
      <c r="H30" s="205"/>
      <c r="I30" s="273"/>
      <c r="J30" s="21"/>
    </row>
    <row r="31" spans="2:11" ht="15.75" thickBot="1" x14ac:dyDescent="0.3">
      <c r="B31" s="1424"/>
      <c r="C31" s="93"/>
      <c r="D31" s="39" t="s">
        <v>1235</v>
      </c>
      <c r="E31" s="205"/>
      <c r="F31" s="205"/>
      <c r="G31" s="205"/>
      <c r="H31" s="205"/>
      <c r="I31" s="273"/>
      <c r="J31" s="21"/>
    </row>
    <row r="32" spans="2:11" ht="15.75" thickBot="1" x14ac:dyDescent="0.3">
      <c r="B32" s="1424"/>
      <c r="C32" s="93"/>
      <c r="D32" s="39" t="s">
        <v>1236</v>
      </c>
      <c r="E32" s="205"/>
      <c r="F32" s="205"/>
      <c r="G32" s="205"/>
      <c r="H32" s="205"/>
      <c r="I32" s="273"/>
      <c r="J32" s="21"/>
    </row>
    <row r="33" spans="2:10" ht="15.75" thickBot="1" x14ac:dyDescent="0.3">
      <c r="B33" s="1424"/>
      <c r="C33" s="93"/>
      <c r="D33" s="39" t="s">
        <v>1237</v>
      </c>
      <c r="E33" s="205"/>
      <c r="F33" s="205"/>
      <c r="G33" s="205"/>
      <c r="H33" s="205"/>
      <c r="I33" s="273"/>
      <c r="J33" s="21"/>
    </row>
    <row r="34" spans="2:10" ht="15.75" thickBot="1" x14ac:dyDescent="0.3">
      <c r="B34" s="1424"/>
      <c r="C34" s="93"/>
      <c r="D34" s="39" t="s">
        <v>1238</v>
      </c>
      <c r="E34" s="269"/>
      <c r="F34" s="269"/>
      <c r="G34" s="269"/>
      <c r="H34" s="269"/>
      <c r="I34" s="273"/>
      <c r="J34" s="21"/>
    </row>
    <row r="35" spans="2:10" ht="15.75" thickBot="1" x14ac:dyDescent="0.3">
      <c r="B35" s="1424"/>
      <c r="C35" s="93"/>
      <c r="D35" s="39" t="s">
        <v>1016</v>
      </c>
      <c r="E35" s="136">
        <f>SUM(E30:E34)</f>
        <v>0</v>
      </c>
      <c r="F35" s="136">
        <f>SUM(F30:F34)</f>
        <v>0</v>
      </c>
      <c r="G35" s="136">
        <f>SUM(G30:G34)</f>
        <v>0</v>
      </c>
      <c r="H35" s="136">
        <f>SUM(H30:H34)</f>
        <v>0</v>
      </c>
      <c r="I35" s="273"/>
      <c r="J35" s="21"/>
    </row>
    <row r="36" spans="2:10" x14ac:dyDescent="0.25">
      <c r="B36" s="1424"/>
      <c r="C36" s="91"/>
      <c r="D36" s="1414" t="s">
        <v>1239</v>
      </c>
      <c r="E36" s="1415"/>
      <c r="F36" s="1415"/>
      <c r="G36" s="1415"/>
      <c r="H36" s="1415"/>
      <c r="I36" s="1415"/>
      <c r="J36" s="1416"/>
    </row>
    <row r="37" spans="2:10" x14ac:dyDescent="0.25">
      <c r="B37" s="1424"/>
      <c r="C37" s="91"/>
      <c r="D37" s="1414" t="s">
        <v>1240</v>
      </c>
      <c r="E37" s="1415"/>
      <c r="F37" s="1415"/>
      <c r="G37" s="1415"/>
      <c r="H37" s="1415"/>
      <c r="I37" s="1415"/>
      <c r="J37" s="1416"/>
    </row>
    <row r="38" spans="2:10" ht="15.75" thickBot="1" x14ac:dyDescent="0.3">
      <c r="B38" s="1424"/>
      <c r="C38" s="91"/>
      <c r="D38" s="1411" t="s">
        <v>1241</v>
      </c>
      <c r="E38" s="1412"/>
      <c r="F38" s="1412"/>
      <c r="G38" s="1412"/>
      <c r="H38" s="1412"/>
      <c r="I38" s="1412"/>
      <c r="J38" s="1413"/>
    </row>
    <row r="39" spans="2:10" ht="15.75" thickBot="1" x14ac:dyDescent="0.3">
      <c r="B39" s="1424"/>
      <c r="C39" s="93"/>
      <c r="D39" s="38" t="s">
        <v>1015</v>
      </c>
      <c r="E39" s="38" t="s">
        <v>909</v>
      </c>
      <c r="F39" s="38" t="s">
        <v>910</v>
      </c>
      <c r="G39" s="38" t="s">
        <v>911</v>
      </c>
      <c r="H39" s="38" t="s">
        <v>912</v>
      </c>
      <c r="I39" s="38" t="s">
        <v>1016</v>
      </c>
      <c r="J39" s="21"/>
    </row>
    <row r="40" spans="2:10" ht="15.75" thickBot="1" x14ac:dyDescent="0.3">
      <c r="B40" s="1424"/>
      <c r="C40" s="93"/>
      <c r="D40" s="39" t="s">
        <v>1233</v>
      </c>
      <c r="E40" s="206"/>
      <c r="F40" s="206"/>
      <c r="G40" s="206"/>
      <c r="H40" s="206"/>
      <c r="I40" s="136">
        <f>SUM(E40:H40)</f>
        <v>0</v>
      </c>
      <c r="J40" s="21"/>
    </row>
    <row r="41" spans="2:10" ht="15.75" thickBot="1" x14ac:dyDescent="0.3">
      <c r="B41" s="1424"/>
      <c r="C41" s="93"/>
      <c r="D41" s="39" t="s">
        <v>1234</v>
      </c>
      <c r="E41" s="206"/>
      <c r="F41" s="206"/>
      <c r="G41" s="206"/>
      <c r="H41" s="206"/>
      <c r="I41" s="274"/>
      <c r="J41" s="21"/>
    </row>
    <row r="42" spans="2:10" ht="15.75" thickBot="1" x14ac:dyDescent="0.3">
      <c r="B42" s="1424"/>
      <c r="C42" s="93"/>
      <c r="D42" s="39" t="s">
        <v>1235</v>
      </c>
      <c r="E42" s="206"/>
      <c r="F42" s="206"/>
      <c r="G42" s="206"/>
      <c r="H42" s="206"/>
      <c r="I42" s="274"/>
      <c r="J42" s="21"/>
    </row>
    <row r="43" spans="2:10" ht="15.75" thickBot="1" x14ac:dyDescent="0.3">
      <c r="B43" s="1424"/>
      <c r="C43" s="93"/>
      <c r="D43" s="39" t="s">
        <v>1236</v>
      </c>
      <c r="E43" s="206"/>
      <c r="F43" s="206"/>
      <c r="G43" s="206"/>
      <c r="H43" s="206"/>
      <c r="I43" s="274"/>
      <c r="J43" s="21"/>
    </row>
    <row r="44" spans="2:10" ht="15.75" thickBot="1" x14ac:dyDescent="0.3">
      <c r="B44" s="1424"/>
      <c r="C44" s="93"/>
      <c r="D44" s="39" t="s">
        <v>1237</v>
      </c>
      <c r="E44" s="206"/>
      <c r="F44" s="206"/>
      <c r="G44" s="206"/>
      <c r="H44" s="206"/>
      <c r="I44" s="274"/>
      <c r="J44" s="21"/>
    </row>
    <row r="45" spans="2:10" ht="15.75" thickBot="1" x14ac:dyDescent="0.3">
      <c r="B45" s="1424"/>
      <c r="C45" s="93"/>
      <c r="D45" s="39" t="s">
        <v>1238</v>
      </c>
      <c r="E45" s="206"/>
      <c r="F45" s="206"/>
      <c r="G45" s="206"/>
      <c r="H45" s="206"/>
      <c r="I45" s="274"/>
      <c r="J45" s="21"/>
    </row>
    <row r="46" spans="2:10" ht="15.75" thickBot="1" x14ac:dyDescent="0.3">
      <c r="B46" s="1424"/>
      <c r="C46" s="93"/>
      <c r="D46" s="39" t="s">
        <v>1016</v>
      </c>
      <c r="E46" s="136">
        <f>SUM(E41:E45)</f>
        <v>0</v>
      </c>
      <c r="F46" s="136">
        <f>SUM(F41:F45)</f>
        <v>0</v>
      </c>
      <c r="G46" s="136">
        <f>SUM(G41:G45)</f>
        <v>0</v>
      </c>
      <c r="H46" s="136">
        <f>SUM(H41:H45)</f>
        <v>0</v>
      </c>
      <c r="I46" s="274"/>
      <c r="J46" s="21"/>
    </row>
    <row r="47" spans="2:10" x14ac:dyDescent="0.25">
      <c r="B47" s="1424"/>
      <c r="C47" s="91"/>
      <c r="D47" s="1414" t="s">
        <v>1242</v>
      </c>
      <c r="E47" s="1415"/>
      <c r="F47" s="1415"/>
      <c r="G47" s="1415"/>
      <c r="H47" s="1415"/>
      <c r="I47" s="1415"/>
      <c r="J47" s="1416"/>
    </row>
    <row r="48" spans="2:10" x14ac:dyDescent="0.25">
      <c r="B48" s="1424"/>
      <c r="C48" s="91"/>
      <c r="D48" s="1414" t="s">
        <v>1243</v>
      </c>
      <c r="E48" s="1415"/>
      <c r="F48" s="1415"/>
      <c r="G48" s="1415"/>
      <c r="H48" s="1415"/>
      <c r="I48" s="1415"/>
      <c r="J48" s="1416"/>
    </row>
    <row r="49" spans="2:10" x14ac:dyDescent="0.25">
      <c r="B49" s="1424"/>
      <c r="C49" s="91"/>
      <c r="D49" s="1411" t="s">
        <v>1244</v>
      </c>
      <c r="E49" s="1412"/>
      <c r="F49" s="1412"/>
      <c r="G49" s="1412"/>
      <c r="H49" s="1412"/>
      <c r="I49" s="1412"/>
      <c r="J49" s="1413"/>
    </row>
    <row r="50" spans="2:10" ht="15.75" thickBot="1" x14ac:dyDescent="0.3">
      <c r="B50" s="1424"/>
      <c r="C50" s="91"/>
      <c r="D50" s="1414" t="s">
        <v>1232</v>
      </c>
      <c r="E50" s="1415"/>
      <c r="F50" s="1415"/>
      <c r="G50" s="1415"/>
      <c r="H50" s="1415"/>
      <c r="I50" s="1415"/>
      <c r="J50" s="1416"/>
    </row>
    <row r="51" spans="2:10" ht="15.75" thickBot="1" x14ac:dyDescent="0.3">
      <c r="B51" s="1424"/>
      <c r="C51" s="93"/>
      <c r="D51" s="38" t="s">
        <v>1015</v>
      </c>
      <c r="E51" s="38" t="s">
        <v>909</v>
      </c>
      <c r="F51" s="38" t="s">
        <v>910</v>
      </c>
      <c r="G51" s="38" t="s">
        <v>911</v>
      </c>
      <c r="H51" s="38" t="s">
        <v>912</v>
      </c>
      <c r="I51" s="38" t="s">
        <v>1016</v>
      </c>
      <c r="J51" s="21"/>
    </row>
    <row r="52" spans="2:10" ht="15.75" thickBot="1" x14ac:dyDescent="0.3">
      <c r="B52" s="1424"/>
      <c r="C52" s="93"/>
      <c r="D52" s="39" t="s">
        <v>1233</v>
      </c>
      <c r="E52" s="6"/>
      <c r="F52" s="6"/>
      <c r="G52" s="6"/>
      <c r="H52" s="6"/>
      <c r="I52" s="42">
        <f>SUM(E52:H52)</f>
        <v>0</v>
      </c>
      <c r="J52" s="21"/>
    </row>
    <row r="53" spans="2:10" ht="15.75" thickBot="1" x14ac:dyDescent="0.3">
      <c r="B53" s="1424"/>
      <c r="C53" s="93"/>
      <c r="D53" s="39" t="s">
        <v>1234</v>
      </c>
      <c r="E53" s="6"/>
      <c r="F53" s="6"/>
      <c r="G53" s="6"/>
      <c r="H53" s="6"/>
      <c r="I53" s="275"/>
      <c r="J53" s="21"/>
    </row>
    <row r="54" spans="2:10" ht="15.75" thickBot="1" x14ac:dyDescent="0.3">
      <c r="B54" s="1424"/>
      <c r="C54" s="93"/>
      <c r="D54" s="39" t="s">
        <v>1235</v>
      </c>
      <c r="E54" s="6"/>
      <c r="F54" s="6"/>
      <c r="G54" s="6"/>
      <c r="H54" s="6"/>
      <c r="I54" s="275"/>
      <c r="J54" s="21"/>
    </row>
    <row r="55" spans="2:10" ht="15.75" thickBot="1" x14ac:dyDescent="0.3">
      <c r="B55" s="1424"/>
      <c r="C55" s="93"/>
      <c r="D55" s="39" t="s">
        <v>1236</v>
      </c>
      <c r="E55" s="6"/>
      <c r="F55" s="6"/>
      <c r="G55" s="6"/>
      <c r="H55" s="6"/>
      <c r="I55" s="275"/>
      <c r="J55" s="21"/>
    </row>
    <row r="56" spans="2:10" ht="15.75" thickBot="1" x14ac:dyDescent="0.3">
      <c r="B56" s="1424"/>
      <c r="C56" s="93"/>
      <c r="D56" s="39" t="s">
        <v>1237</v>
      </c>
      <c r="E56" s="6"/>
      <c r="F56" s="6"/>
      <c r="G56" s="6"/>
      <c r="H56" s="6"/>
      <c r="I56" s="275"/>
      <c r="J56" s="21"/>
    </row>
    <row r="57" spans="2:10" ht="15.75" thickBot="1" x14ac:dyDescent="0.3">
      <c r="B57" s="1424"/>
      <c r="C57" s="93"/>
      <c r="D57" s="39" t="s">
        <v>1238</v>
      </c>
      <c r="E57" s="270"/>
      <c r="F57" s="270"/>
      <c r="G57" s="270"/>
      <c r="H57" s="270"/>
      <c r="I57" s="275"/>
      <c r="J57" s="21"/>
    </row>
    <row r="58" spans="2:10" ht="15.75" thickBot="1" x14ac:dyDescent="0.3">
      <c r="B58" s="1424"/>
      <c r="C58" s="93"/>
      <c r="D58" s="39" t="s">
        <v>1016</v>
      </c>
      <c r="E58" s="136">
        <f>SUM(E53:E57)</f>
        <v>0</v>
      </c>
      <c r="F58" s="136">
        <f>SUM(F53:F57)</f>
        <v>0</v>
      </c>
      <c r="G58" s="136">
        <f>SUM(G53:G57)</f>
        <v>0</v>
      </c>
      <c r="H58" s="136">
        <f>SUM(H53:H57)</f>
        <v>0</v>
      </c>
      <c r="I58" s="275"/>
      <c r="J58" s="21"/>
    </row>
    <row r="59" spans="2:10" x14ac:dyDescent="0.25">
      <c r="B59" s="1424"/>
      <c r="C59" s="91"/>
      <c r="D59" s="1414" t="s">
        <v>1239</v>
      </c>
      <c r="E59" s="1415"/>
      <c r="F59" s="1415"/>
      <c r="G59" s="1415"/>
      <c r="H59" s="1415"/>
      <c r="I59" s="1415"/>
      <c r="J59" s="1416"/>
    </row>
    <row r="60" spans="2:10" x14ac:dyDescent="0.25">
      <c r="B60" s="1424"/>
      <c r="C60" s="91"/>
      <c r="D60" s="1414" t="s">
        <v>1240</v>
      </c>
      <c r="E60" s="1415"/>
      <c r="F60" s="1415"/>
      <c r="G60" s="1415"/>
      <c r="H60" s="1415"/>
      <c r="I60" s="1415"/>
      <c r="J60" s="1416"/>
    </row>
    <row r="61" spans="2:10" ht="15.75" thickBot="1" x14ac:dyDescent="0.3">
      <c r="B61" s="1424"/>
      <c r="C61" s="91"/>
      <c r="D61" s="1411" t="s">
        <v>1241</v>
      </c>
      <c r="E61" s="1412"/>
      <c r="F61" s="1412"/>
      <c r="G61" s="1412"/>
      <c r="H61" s="1412"/>
      <c r="I61" s="1412"/>
      <c r="J61" s="1413"/>
    </row>
    <row r="62" spans="2:10" ht="15.75" thickBot="1" x14ac:dyDescent="0.3">
      <c r="B62" s="1424"/>
      <c r="C62" s="93"/>
      <c r="D62" s="38" t="s">
        <v>1015</v>
      </c>
      <c r="E62" s="38" t="s">
        <v>909</v>
      </c>
      <c r="F62" s="38" t="s">
        <v>910</v>
      </c>
      <c r="G62" s="38" t="s">
        <v>911</v>
      </c>
      <c r="H62" s="38" t="s">
        <v>912</v>
      </c>
      <c r="I62" s="38" t="s">
        <v>1016</v>
      </c>
      <c r="J62" s="21"/>
    </row>
    <row r="63" spans="2:10" ht="15.75" thickBot="1" x14ac:dyDescent="0.3">
      <c r="B63" s="1424"/>
      <c r="C63" s="93"/>
      <c r="D63" s="39" t="s">
        <v>1233</v>
      </c>
      <c r="E63" s="186"/>
      <c r="F63" s="186"/>
      <c r="G63" s="186"/>
      <c r="H63" s="186"/>
      <c r="I63" s="136">
        <f>SUM(E63:H63)</f>
        <v>0</v>
      </c>
      <c r="J63" s="21"/>
    </row>
    <row r="64" spans="2:10" ht="15.75" thickBot="1" x14ac:dyDescent="0.3">
      <c r="B64" s="1424"/>
      <c r="C64" s="93"/>
      <c r="D64" s="39" t="s">
        <v>1234</v>
      </c>
      <c r="E64" s="186"/>
      <c r="F64" s="186"/>
      <c r="G64" s="186"/>
      <c r="H64" s="186"/>
      <c r="I64" s="275"/>
      <c r="J64" s="21"/>
    </row>
    <row r="65" spans="2:11" ht="15.75" thickBot="1" x14ac:dyDescent="0.3">
      <c r="B65" s="1424"/>
      <c r="C65" s="93"/>
      <c r="D65" s="39" t="s">
        <v>1235</v>
      </c>
      <c r="E65" s="186"/>
      <c r="F65" s="186"/>
      <c r="G65" s="186"/>
      <c r="H65" s="186"/>
      <c r="I65" s="275"/>
      <c r="J65" s="21"/>
    </row>
    <row r="66" spans="2:11" ht="15.75" thickBot="1" x14ac:dyDescent="0.3">
      <c r="B66" s="1424"/>
      <c r="C66" s="93"/>
      <c r="D66" s="39" t="s">
        <v>1236</v>
      </c>
      <c r="E66" s="186"/>
      <c r="F66" s="186"/>
      <c r="G66" s="186"/>
      <c r="H66" s="186"/>
      <c r="I66" s="275"/>
      <c r="J66" s="21"/>
    </row>
    <row r="67" spans="2:11" ht="15.75" thickBot="1" x14ac:dyDescent="0.3">
      <c r="B67" s="1424"/>
      <c r="C67" s="93"/>
      <c r="D67" s="39" t="s">
        <v>1237</v>
      </c>
      <c r="E67" s="186"/>
      <c r="F67" s="186"/>
      <c r="G67" s="186"/>
      <c r="H67" s="186"/>
      <c r="I67" s="275"/>
      <c r="J67" s="21"/>
    </row>
    <row r="68" spans="2:11" ht="15.75" thickBot="1" x14ac:dyDescent="0.3">
      <c r="B68" s="1424"/>
      <c r="C68" s="93"/>
      <c r="D68" s="39" t="s">
        <v>1245</v>
      </c>
      <c r="E68" s="186"/>
      <c r="F68" s="186"/>
      <c r="G68" s="186"/>
      <c r="H68" s="186"/>
      <c r="I68" s="275"/>
      <c r="J68" s="21"/>
    </row>
    <row r="69" spans="2:11" ht="15.75" thickBot="1" x14ac:dyDescent="0.3">
      <c r="B69" s="1424"/>
      <c r="C69" s="93"/>
      <c r="D69" s="39" t="s">
        <v>1016</v>
      </c>
      <c r="E69" s="136">
        <f>SUM(E64:E68)</f>
        <v>0</v>
      </c>
      <c r="F69" s="136">
        <f>SUM(F64:F68)</f>
        <v>0</v>
      </c>
      <c r="G69" s="136">
        <f>SUM(G64:G68)</f>
        <v>0</v>
      </c>
      <c r="H69" s="136">
        <f>SUM(H64:H68)</f>
        <v>0</v>
      </c>
      <c r="I69" s="275"/>
      <c r="J69" s="21"/>
    </row>
    <row r="70" spans="2:11" x14ac:dyDescent="0.25">
      <c r="B70" s="1424"/>
      <c r="C70" s="91"/>
      <c r="D70" s="1414" t="s">
        <v>1242</v>
      </c>
      <c r="E70" s="1415"/>
      <c r="F70" s="1415"/>
      <c r="G70" s="1415"/>
      <c r="H70" s="1415"/>
      <c r="I70" s="1415"/>
      <c r="J70" s="1416"/>
    </row>
    <row r="71" spans="2:11" x14ac:dyDescent="0.25">
      <c r="B71" s="1424"/>
      <c r="C71" s="91"/>
      <c r="D71" s="1414" t="s">
        <v>1243</v>
      </c>
      <c r="E71" s="1415"/>
      <c r="F71" s="1415"/>
      <c r="G71" s="1415"/>
      <c r="H71" s="1415"/>
      <c r="I71" s="1415"/>
      <c r="J71" s="1416"/>
    </row>
    <row r="72" spans="2:11" ht="15.75" thickBot="1" x14ac:dyDescent="0.3">
      <c r="B72" s="1424"/>
      <c r="C72" s="91"/>
      <c r="D72" s="1405" t="s">
        <v>1246</v>
      </c>
      <c r="E72" s="1406"/>
      <c r="F72" s="1406"/>
      <c r="G72" s="1406"/>
      <c r="H72" s="1406"/>
      <c r="I72" s="1406"/>
      <c r="J72" s="1407"/>
    </row>
    <row r="73" spans="2:11" ht="33" customHeight="1" x14ac:dyDescent="0.25">
      <c r="B73" s="1424"/>
      <c r="C73" s="93"/>
      <c r="D73" s="1410" t="s">
        <v>1247</v>
      </c>
      <c r="E73" s="1423" t="s">
        <v>1248</v>
      </c>
      <c r="F73" s="1423" t="s">
        <v>1249</v>
      </c>
      <c r="G73" s="1423" t="s">
        <v>1250</v>
      </c>
      <c r="H73" s="1423" t="s">
        <v>1251</v>
      </c>
      <c r="I73" s="1423" t="s">
        <v>1252</v>
      </c>
      <c r="J73" s="62" t="s">
        <v>1253</v>
      </c>
      <c r="K73" s="5"/>
    </row>
    <row r="74" spans="2:11" ht="24.75" thickBot="1" x14ac:dyDescent="0.3">
      <c r="B74" s="1424"/>
      <c r="C74" s="93"/>
      <c r="D74" s="1440"/>
      <c r="E74" s="1425"/>
      <c r="F74" s="1425"/>
      <c r="G74" s="1425"/>
      <c r="H74" s="1425"/>
      <c r="I74" s="1425"/>
      <c r="J74" s="40" t="s">
        <v>1254</v>
      </c>
      <c r="K74" s="5"/>
    </row>
    <row r="75" spans="2:11" ht="15.75" thickBot="1" x14ac:dyDescent="0.3">
      <c r="B75" s="1424"/>
      <c r="C75" s="93"/>
      <c r="D75" s="29"/>
      <c r="E75" s="29"/>
      <c r="F75" s="29"/>
      <c r="G75" s="186"/>
      <c r="H75" s="186"/>
      <c r="I75" s="29"/>
      <c r="J75" s="29"/>
      <c r="K75" s="5"/>
    </row>
    <row r="76" spans="2:11" ht="15.75" thickBot="1" x14ac:dyDescent="0.3">
      <c r="B76" s="1424"/>
      <c r="C76" s="93"/>
      <c r="D76" s="29"/>
      <c r="E76" s="29"/>
      <c r="F76" s="29"/>
      <c r="G76" s="186"/>
      <c r="H76" s="186"/>
      <c r="I76" s="29"/>
      <c r="J76" s="29"/>
      <c r="K76" s="5"/>
    </row>
    <row r="77" spans="2:11" ht="15.75" thickBot="1" x14ac:dyDescent="0.3">
      <c r="B77" s="1424"/>
      <c r="C77" s="93"/>
      <c r="D77" s="29"/>
      <c r="E77" s="29"/>
      <c r="F77" s="29"/>
      <c r="G77" s="186"/>
      <c r="H77" s="186"/>
      <c r="I77" s="29"/>
      <c r="J77" s="29"/>
      <c r="K77" s="5"/>
    </row>
    <row r="78" spans="2:11" x14ac:dyDescent="0.25">
      <c r="B78" s="1424"/>
      <c r="C78" s="91"/>
      <c r="D78" s="1408" t="s">
        <v>1255</v>
      </c>
      <c r="E78" s="1409"/>
      <c r="F78" s="1409"/>
      <c r="G78" s="1409"/>
      <c r="H78" s="1409"/>
      <c r="I78" s="1409"/>
      <c r="J78" s="1410"/>
      <c r="K78" s="5"/>
    </row>
    <row r="79" spans="2:11" ht="15.75" thickBot="1" x14ac:dyDescent="0.3">
      <c r="B79" s="1424"/>
      <c r="C79" s="91"/>
      <c r="D79" s="1438" t="s">
        <v>1256</v>
      </c>
      <c r="E79" s="1439"/>
      <c r="F79" s="1439"/>
      <c r="G79" s="1439"/>
      <c r="H79" s="1439"/>
      <c r="I79" s="1439"/>
      <c r="J79" s="1440"/>
      <c r="K79" s="5"/>
    </row>
    <row r="80" spans="2:11" x14ac:dyDescent="0.25">
      <c r="B80" s="1424"/>
      <c r="C80" s="91"/>
      <c r="D80" s="232"/>
      <c r="E80" s="129"/>
      <c r="F80" s="129"/>
      <c r="G80" s="129"/>
      <c r="H80" s="129"/>
      <c r="I80" s="129"/>
      <c r="J80" s="45"/>
      <c r="K80" s="5"/>
    </row>
    <row r="81" spans="2:11" ht="15.75" thickBot="1" x14ac:dyDescent="0.3">
      <c r="B81" s="1424"/>
      <c r="C81" s="91"/>
      <c r="D81" s="232" t="s">
        <v>1257</v>
      </c>
      <c r="E81" s="129"/>
      <c r="F81" s="129"/>
      <c r="G81" s="129"/>
      <c r="H81" s="129"/>
      <c r="I81" s="129"/>
      <c r="J81" s="45"/>
      <c r="K81" s="5"/>
    </row>
    <row r="82" spans="2:11" x14ac:dyDescent="0.25">
      <c r="B82" s="1424"/>
      <c r="C82" s="91"/>
      <c r="D82" s="276" t="s">
        <v>1015</v>
      </c>
      <c r="E82" s="277" t="s">
        <v>909</v>
      </c>
      <c r="F82" s="277" t="s">
        <v>910</v>
      </c>
      <c r="G82" s="277" t="s">
        <v>911</v>
      </c>
      <c r="H82" s="277" t="s">
        <v>912</v>
      </c>
      <c r="I82" s="278" t="s">
        <v>1016</v>
      </c>
      <c r="J82" s="45"/>
      <c r="K82" s="5"/>
    </row>
    <row r="83" spans="2:11" x14ac:dyDescent="0.25">
      <c r="B83" s="1424"/>
      <c r="C83" s="91"/>
      <c r="D83" s="279" t="s">
        <v>1258</v>
      </c>
      <c r="E83" s="280">
        <f>+E63+E40</f>
        <v>0</v>
      </c>
      <c r="F83" s="280">
        <f>+F63+F40</f>
        <v>0</v>
      </c>
      <c r="G83" s="280">
        <f>+G63+G40</f>
        <v>0</v>
      </c>
      <c r="H83" s="280">
        <f>+H63+H40</f>
        <v>0</v>
      </c>
      <c r="I83" s="281">
        <f>SUM(E83:H83)</f>
        <v>0</v>
      </c>
      <c r="J83" s="45"/>
      <c r="K83" s="5"/>
    </row>
    <row r="84" spans="2:11" ht="36" x14ac:dyDescent="0.25">
      <c r="B84" s="1424"/>
      <c r="C84" s="91"/>
      <c r="D84" s="282" t="s">
        <v>1259</v>
      </c>
      <c r="E84" s="280">
        <f>+E68+E45</f>
        <v>0</v>
      </c>
      <c r="F84" s="280">
        <f>+F68+F45</f>
        <v>0</v>
      </c>
      <c r="G84" s="280">
        <f>+G68+G45</f>
        <v>0</v>
      </c>
      <c r="H84" s="280">
        <f>+H68+H45</f>
        <v>0</v>
      </c>
      <c r="I84" s="281">
        <f>SUM(E84:H84)</f>
        <v>0</v>
      </c>
      <c r="J84" s="45"/>
      <c r="K84" s="5"/>
    </row>
    <row r="85" spans="2:11" ht="48.75" thickBot="1" x14ac:dyDescent="0.3">
      <c r="B85" s="1424"/>
      <c r="C85" s="91"/>
      <c r="D85" s="282" t="s">
        <v>97</v>
      </c>
      <c r="E85" s="283" t="str">
        <f>IFERROR(E84/E83,"N.A.")</f>
        <v>N.A.</v>
      </c>
      <c r="F85" s="283" t="str">
        <f>IFERROR(F84/F83,"N.A.")</f>
        <v>N.A.</v>
      </c>
      <c r="G85" s="283" t="str">
        <f>IFERROR(G84/G83,"N.A.")</f>
        <v>N.A.</v>
      </c>
      <c r="H85" s="283" t="str">
        <f>IFERROR(H84/H83,"N.A.")</f>
        <v>N.A.</v>
      </c>
      <c r="I85" s="283" t="str">
        <f>IFERROR(I84/I83,"N.A.")</f>
        <v>N.A.</v>
      </c>
      <c r="J85" s="45"/>
      <c r="K85" s="5"/>
    </row>
    <row r="86" spans="2:11" ht="24" customHeight="1" thickBot="1" x14ac:dyDescent="0.3">
      <c r="B86" s="1425"/>
      <c r="C86" s="92"/>
      <c r="J86" s="45"/>
      <c r="K86" s="5"/>
    </row>
    <row r="87" spans="2:11" ht="24" customHeight="1" thickBot="1" x14ac:dyDescent="0.3">
      <c r="B87" s="46" t="s">
        <v>924</v>
      </c>
      <c r="C87" s="92"/>
      <c r="D87" s="1435" t="s">
        <v>1260</v>
      </c>
      <c r="E87" s="1436"/>
      <c r="F87" s="1436"/>
      <c r="G87" s="1436"/>
      <c r="H87" s="1436"/>
      <c r="I87" s="1436"/>
      <c r="J87" s="1437"/>
      <c r="K87" s="5"/>
    </row>
    <row r="88" spans="2:11" ht="24" customHeight="1" x14ac:dyDescent="0.25">
      <c r="B88" s="1423" t="s">
        <v>926</v>
      </c>
      <c r="C88" s="88"/>
      <c r="D88" s="1408" t="s">
        <v>1202</v>
      </c>
      <c r="E88" s="1409"/>
      <c r="F88" s="1409"/>
      <c r="G88" s="1409"/>
      <c r="H88" s="1409"/>
      <c r="I88" s="1409"/>
      <c r="J88" s="1410"/>
      <c r="K88" s="5"/>
    </row>
    <row r="89" spans="2:11" ht="48" customHeight="1" x14ac:dyDescent="0.25">
      <c r="B89" s="1424"/>
      <c r="C89" s="91"/>
      <c r="D89" s="1414" t="s">
        <v>1261</v>
      </c>
      <c r="E89" s="1415"/>
      <c r="F89" s="1415"/>
      <c r="G89" s="1415"/>
      <c r="H89" s="1415"/>
      <c r="I89" s="1415"/>
      <c r="J89" s="1416"/>
      <c r="K89" s="5"/>
    </row>
    <row r="90" spans="2:11" ht="60" customHeight="1" thickBot="1" x14ac:dyDescent="0.3">
      <c r="B90" s="1425"/>
      <c r="C90" s="92"/>
      <c r="D90" s="1438" t="s">
        <v>1262</v>
      </c>
      <c r="E90" s="1439"/>
      <c r="F90" s="1439"/>
      <c r="G90" s="1439"/>
      <c r="H90" s="1439"/>
      <c r="I90" s="1439"/>
      <c r="J90" s="1440"/>
      <c r="K90" s="5"/>
    </row>
    <row r="91" spans="2:11" ht="15.75" thickBot="1" x14ac:dyDescent="0.3">
      <c r="B91" s="1"/>
      <c r="C91" s="75"/>
      <c r="D91" s="5"/>
      <c r="E91" s="5"/>
      <c r="F91" s="5"/>
      <c r="G91" s="5"/>
      <c r="H91" s="5"/>
      <c r="I91" s="5"/>
      <c r="J91" s="5"/>
      <c r="K91" s="5"/>
    </row>
    <row r="92" spans="2:11" ht="24" customHeight="1" thickBot="1" x14ac:dyDescent="0.3">
      <c r="B92" s="1426" t="s">
        <v>928</v>
      </c>
      <c r="C92" s="1427"/>
      <c r="D92" s="1427"/>
      <c r="E92" s="1428"/>
      <c r="F92" s="5"/>
      <c r="G92" s="5"/>
      <c r="H92" s="5"/>
      <c r="I92" s="5"/>
      <c r="J92" s="5"/>
      <c r="K92" s="5"/>
    </row>
    <row r="93" spans="2:11" ht="15.75" thickBot="1" x14ac:dyDescent="0.3">
      <c r="B93" s="1423">
        <v>1</v>
      </c>
      <c r="C93" s="93"/>
      <c r="D93" s="47" t="s">
        <v>929</v>
      </c>
      <c r="E93" s="30" t="s">
        <v>2093</v>
      </c>
      <c r="F93" s="5"/>
      <c r="G93" s="5"/>
      <c r="H93" s="5"/>
      <c r="I93" s="5"/>
      <c r="J93" s="5"/>
      <c r="K93" s="5"/>
    </row>
    <row r="94" spans="2:11" ht="15.75" thickBot="1" x14ac:dyDescent="0.3">
      <c r="B94" s="1424"/>
      <c r="C94" s="93"/>
      <c r="D94" s="40" t="s">
        <v>7</v>
      </c>
      <c r="E94" s="30" t="s">
        <v>2098</v>
      </c>
      <c r="F94" s="5"/>
      <c r="G94" s="5"/>
      <c r="H94" s="5"/>
      <c r="I94" s="5"/>
      <c r="J94" s="5"/>
      <c r="K94" s="5"/>
    </row>
    <row r="95" spans="2:11" ht="15.75" thickBot="1" x14ac:dyDescent="0.3">
      <c r="B95" s="1424"/>
      <c r="C95" s="93"/>
      <c r="D95" s="40" t="s">
        <v>930</v>
      </c>
      <c r="E95" s="30" t="s">
        <v>2109</v>
      </c>
      <c r="F95" s="5"/>
      <c r="G95" s="5"/>
      <c r="H95" s="5"/>
      <c r="I95" s="5"/>
      <c r="J95" s="5"/>
      <c r="K95" s="5"/>
    </row>
    <row r="96" spans="2:11" ht="15.75" thickBot="1" x14ac:dyDescent="0.3">
      <c r="B96" s="1424"/>
      <c r="C96" s="93"/>
      <c r="D96" s="40" t="s">
        <v>9</v>
      </c>
      <c r="E96" s="30" t="s">
        <v>2095</v>
      </c>
      <c r="F96" s="5"/>
      <c r="G96" s="5"/>
      <c r="H96" s="5"/>
      <c r="I96" s="5"/>
      <c r="J96" s="5"/>
      <c r="K96" s="5"/>
    </row>
    <row r="97" spans="2:11" ht="15.75" thickBot="1" x14ac:dyDescent="0.3">
      <c r="B97" s="1424"/>
      <c r="C97" s="93"/>
      <c r="D97" s="40" t="s">
        <v>11</v>
      </c>
      <c r="E97" s="30" t="s">
        <v>2110</v>
      </c>
      <c r="F97" s="5"/>
      <c r="G97" s="5"/>
      <c r="H97" s="5"/>
      <c r="I97" s="5"/>
      <c r="J97" s="5"/>
      <c r="K97" s="5"/>
    </row>
    <row r="98" spans="2:11" ht="15.75" thickBot="1" x14ac:dyDescent="0.3">
      <c r="B98" s="1424"/>
      <c r="C98" s="93"/>
      <c r="D98" s="40" t="s">
        <v>13</v>
      </c>
      <c r="E98" s="30">
        <v>6695278</v>
      </c>
      <c r="F98" s="5"/>
      <c r="G98" s="5"/>
      <c r="H98" s="5"/>
      <c r="I98" s="5"/>
      <c r="J98" s="5"/>
      <c r="K98" s="5"/>
    </row>
    <row r="99" spans="2:11" ht="15.75" thickBot="1" x14ac:dyDescent="0.3">
      <c r="B99" s="1425"/>
      <c r="C99" s="2"/>
      <c r="D99" s="40" t="s">
        <v>931</v>
      </c>
      <c r="E99" s="30" t="s">
        <v>2097</v>
      </c>
      <c r="F99" s="5"/>
      <c r="G99" s="5"/>
      <c r="H99" s="5"/>
      <c r="I99" s="5"/>
      <c r="J99" s="5"/>
      <c r="K99" s="5"/>
    </row>
    <row r="100" spans="2:11" ht="15.75" thickBot="1" x14ac:dyDescent="0.3">
      <c r="B100" s="1"/>
      <c r="C100" s="75"/>
      <c r="D100" s="5"/>
      <c r="E100" s="5"/>
      <c r="F100" s="5"/>
      <c r="G100" s="5"/>
      <c r="H100" s="5"/>
      <c r="I100" s="5"/>
      <c r="J100" s="5"/>
      <c r="K100" s="5"/>
    </row>
    <row r="101" spans="2:11" ht="15.75" thickBot="1" x14ac:dyDescent="0.3">
      <c r="B101" s="1426" t="s">
        <v>932</v>
      </c>
      <c r="C101" s="1427"/>
      <c r="D101" s="1427"/>
      <c r="E101" s="1428"/>
      <c r="F101" s="5"/>
      <c r="G101" s="5"/>
      <c r="H101" s="5"/>
      <c r="I101" s="5"/>
      <c r="J101" s="5"/>
      <c r="K101" s="5"/>
    </row>
    <row r="102" spans="2:11" ht="15.75" thickBot="1" x14ac:dyDescent="0.3">
      <c r="B102" s="1423">
        <v>1</v>
      </c>
      <c r="C102" s="93"/>
      <c r="D102" s="47" t="s">
        <v>929</v>
      </c>
      <c r="E102" s="217" t="s">
        <v>933</v>
      </c>
      <c r="F102" s="5"/>
      <c r="G102" s="5"/>
      <c r="H102" s="5"/>
      <c r="I102" s="5"/>
      <c r="J102" s="5"/>
      <c r="K102" s="5"/>
    </row>
    <row r="103" spans="2:11" ht="15.75" thickBot="1" x14ac:dyDescent="0.3">
      <c r="B103" s="1424"/>
      <c r="C103" s="93"/>
      <c r="D103" s="40" t="s">
        <v>7</v>
      </c>
      <c r="E103" s="217" t="s">
        <v>1025</v>
      </c>
      <c r="F103" s="5"/>
      <c r="G103" s="5"/>
      <c r="H103" s="5"/>
      <c r="I103" s="5"/>
      <c r="J103" s="5"/>
      <c r="K103" s="5"/>
    </row>
    <row r="104" spans="2:11" ht="15.75" thickBot="1" x14ac:dyDescent="0.3">
      <c r="B104" s="1424"/>
      <c r="C104" s="93"/>
      <c r="D104" s="40" t="s">
        <v>930</v>
      </c>
      <c r="E104" s="237"/>
      <c r="F104" s="5"/>
      <c r="G104" s="5"/>
      <c r="H104" s="5"/>
      <c r="I104" s="5"/>
      <c r="J104" s="5"/>
      <c r="K104" s="5"/>
    </row>
    <row r="105" spans="2:11" ht="15.75" thickBot="1" x14ac:dyDescent="0.3">
      <c r="B105" s="1424"/>
      <c r="C105" s="93"/>
      <c r="D105" s="40" t="s">
        <v>9</v>
      </c>
      <c r="E105" s="237"/>
      <c r="F105" s="5"/>
      <c r="G105" s="5"/>
      <c r="H105" s="5"/>
      <c r="I105" s="5"/>
      <c r="J105" s="5"/>
      <c r="K105" s="5"/>
    </row>
    <row r="106" spans="2:11" ht="15.75" thickBot="1" x14ac:dyDescent="0.3">
      <c r="B106" s="1424"/>
      <c r="C106" s="93"/>
      <c r="D106" s="40" t="s">
        <v>11</v>
      </c>
      <c r="E106" s="237"/>
      <c r="F106" s="5"/>
      <c r="G106" s="5"/>
      <c r="H106" s="5"/>
      <c r="I106" s="5"/>
      <c r="J106" s="5"/>
      <c r="K106" s="5"/>
    </row>
    <row r="107" spans="2:11" ht="15.75" thickBot="1" x14ac:dyDescent="0.3">
      <c r="B107" s="1424"/>
      <c r="C107" s="93"/>
      <c r="D107" s="40" t="s">
        <v>13</v>
      </c>
      <c r="E107" s="237"/>
      <c r="F107" s="5"/>
      <c r="G107" s="5"/>
      <c r="H107" s="5"/>
      <c r="I107" s="5"/>
      <c r="J107" s="5"/>
      <c r="K107" s="5"/>
    </row>
    <row r="108" spans="2:11" ht="15.75" thickBot="1" x14ac:dyDescent="0.3">
      <c r="B108" s="1425"/>
      <c r="C108" s="2"/>
      <c r="D108" s="40" t="s">
        <v>931</v>
      </c>
      <c r="E108" s="237"/>
      <c r="F108" s="5"/>
      <c r="G108" s="5"/>
      <c r="H108" s="5"/>
      <c r="I108" s="5"/>
      <c r="J108" s="5"/>
      <c r="K108" s="5"/>
    </row>
    <row r="109" spans="2:11" ht="15.75" thickBot="1" x14ac:dyDescent="0.3">
      <c r="B109" s="1"/>
      <c r="C109" s="75"/>
      <c r="D109" s="5"/>
      <c r="E109" s="5"/>
      <c r="F109" s="5"/>
      <c r="G109" s="5"/>
      <c r="H109" s="5"/>
      <c r="I109" s="5"/>
      <c r="J109" s="5"/>
      <c r="K109" s="5"/>
    </row>
    <row r="110" spans="2:11" ht="15" customHeight="1" thickBot="1" x14ac:dyDescent="0.3">
      <c r="B110" s="118" t="s">
        <v>935</v>
      </c>
      <c r="C110" s="119"/>
      <c r="D110" s="119"/>
      <c r="E110" s="120"/>
      <c r="G110" s="5"/>
      <c r="H110" s="5"/>
      <c r="I110" s="5"/>
      <c r="J110" s="5"/>
      <c r="K110" s="5"/>
    </row>
    <row r="111" spans="2:11" ht="24.75" thickBot="1" x14ac:dyDescent="0.3">
      <c r="B111" s="46" t="s">
        <v>936</v>
      </c>
      <c r="C111" s="40" t="s">
        <v>937</v>
      </c>
      <c r="D111" s="40" t="s">
        <v>938</v>
      </c>
      <c r="E111" s="40" t="s">
        <v>939</v>
      </c>
      <c r="F111" s="5"/>
      <c r="G111" s="5"/>
      <c r="H111" s="5"/>
      <c r="I111" s="5"/>
      <c r="J111" s="5"/>
    </row>
    <row r="112" spans="2:11" ht="96.75" thickBot="1" x14ac:dyDescent="0.3">
      <c r="B112" s="48">
        <v>42401</v>
      </c>
      <c r="C112" s="40">
        <v>0.01</v>
      </c>
      <c r="D112" s="49" t="s">
        <v>1263</v>
      </c>
      <c r="E112" s="40"/>
      <c r="F112" s="5"/>
      <c r="G112" s="5"/>
      <c r="H112" s="5"/>
      <c r="I112" s="5"/>
      <c r="J112" s="5"/>
    </row>
    <row r="113" spans="2:11" ht="15.75" thickBot="1" x14ac:dyDescent="0.3">
      <c r="B113" s="1"/>
      <c r="C113" s="75"/>
      <c r="D113" s="5"/>
      <c r="E113" s="5"/>
      <c r="F113" s="5"/>
      <c r="G113" s="5"/>
      <c r="H113" s="5"/>
      <c r="I113" s="5"/>
      <c r="J113" s="5"/>
      <c r="K113" s="5"/>
    </row>
    <row r="114" spans="2:11" ht="15.75" thickBot="1" x14ac:dyDescent="0.3">
      <c r="B114" s="4" t="s">
        <v>846</v>
      </c>
      <c r="C114" s="95"/>
      <c r="D114" s="5"/>
      <c r="E114" s="5"/>
      <c r="F114" s="5"/>
      <c r="G114" s="5"/>
      <c r="H114" s="5"/>
      <c r="I114" s="5"/>
      <c r="J114" s="5"/>
      <c r="K114" s="5"/>
    </row>
    <row r="115" spans="2:11" x14ac:dyDescent="0.25">
      <c r="B115" s="1496" t="s">
        <v>1264</v>
      </c>
      <c r="C115" s="1497"/>
      <c r="D115" s="1497"/>
      <c r="E115" s="1497"/>
      <c r="F115" s="1497"/>
      <c r="G115" s="1497"/>
      <c r="H115" s="1497"/>
      <c r="I115" s="1497"/>
      <c r="J115" s="1497"/>
      <c r="K115" s="5"/>
    </row>
    <row r="116" spans="2:11" ht="24" customHeight="1" x14ac:dyDescent="0.25">
      <c r="B116" s="1496"/>
      <c r="C116" s="1497"/>
      <c r="D116" s="1497"/>
      <c r="E116" s="1497"/>
      <c r="F116" s="1497"/>
      <c r="G116" s="1497"/>
      <c r="H116" s="1497"/>
      <c r="I116" s="1497"/>
      <c r="J116" s="1497"/>
      <c r="K116" s="5"/>
    </row>
    <row r="117" spans="2:11" x14ac:dyDescent="0.25">
      <c r="B117" s="1498"/>
      <c r="C117" s="1499"/>
      <c r="D117" s="1499"/>
      <c r="E117" s="1499"/>
      <c r="F117" s="1499"/>
      <c r="G117" s="1499"/>
      <c r="H117" s="1499"/>
      <c r="I117" s="1499"/>
      <c r="J117" s="1499"/>
      <c r="K117" s="5"/>
    </row>
    <row r="118" spans="2:11" ht="15.75" thickBot="1" x14ac:dyDescent="0.3">
      <c r="B118" s="5"/>
      <c r="D118" s="5"/>
      <c r="E118" s="5"/>
      <c r="F118" s="5"/>
      <c r="G118" s="5"/>
      <c r="H118" s="5"/>
      <c r="I118" s="5"/>
      <c r="J118" s="5"/>
      <c r="K118" s="5"/>
    </row>
    <row r="119" spans="2:11" ht="15.75" thickBot="1" x14ac:dyDescent="0.3">
      <c r="B119" s="1426" t="s">
        <v>941</v>
      </c>
      <c r="C119" s="1427"/>
      <c r="D119" s="1428"/>
      <c r="E119" s="5"/>
      <c r="F119" s="5"/>
      <c r="G119" s="5"/>
      <c r="H119" s="5"/>
      <c r="I119" s="5"/>
      <c r="J119" s="5"/>
      <c r="K119" s="5"/>
    </row>
    <row r="120" spans="2:11" ht="108.75" thickBot="1" x14ac:dyDescent="0.3">
      <c r="B120" s="46" t="s">
        <v>942</v>
      </c>
      <c r="C120" s="2"/>
      <c r="D120" s="40" t="s">
        <v>1265</v>
      </c>
      <c r="E120" s="5"/>
      <c r="F120" s="5"/>
      <c r="G120" s="5"/>
      <c r="H120" s="5"/>
      <c r="I120" s="5"/>
      <c r="J120" s="5"/>
      <c r="K120" s="5"/>
    </row>
    <row r="121" spans="2:11" x14ac:dyDescent="0.25">
      <c r="B121" s="1423" t="s">
        <v>944</v>
      </c>
      <c r="C121" s="93"/>
      <c r="D121" s="52" t="s">
        <v>945</v>
      </c>
      <c r="E121" s="5"/>
      <c r="F121" s="5"/>
      <c r="G121" s="5"/>
      <c r="H121" s="5"/>
      <c r="I121" s="5"/>
      <c r="J121" s="5"/>
      <c r="K121" s="5"/>
    </row>
    <row r="122" spans="2:11" ht="84" x14ac:dyDescent="0.25">
      <c r="B122" s="1424"/>
      <c r="C122" s="93"/>
      <c r="D122" s="45" t="s">
        <v>1266</v>
      </c>
      <c r="E122" s="5"/>
      <c r="F122" s="5"/>
      <c r="G122" s="5"/>
      <c r="H122" s="5"/>
      <c r="I122" s="5"/>
      <c r="J122" s="5"/>
      <c r="K122" s="5"/>
    </row>
    <row r="123" spans="2:11" ht="36" x14ac:dyDescent="0.25">
      <c r="B123" s="1424"/>
      <c r="C123" s="93"/>
      <c r="D123" s="45" t="s">
        <v>1267</v>
      </c>
      <c r="E123" s="5"/>
      <c r="F123" s="5"/>
      <c r="G123" s="5"/>
      <c r="H123" s="5"/>
      <c r="I123" s="5"/>
      <c r="J123" s="5"/>
      <c r="K123" s="5"/>
    </row>
    <row r="124" spans="2:11" x14ac:dyDescent="0.25">
      <c r="B124" s="1424"/>
      <c r="C124" s="93"/>
      <c r="D124" s="52" t="s">
        <v>948</v>
      </c>
      <c r="E124" s="5"/>
      <c r="F124" s="5"/>
      <c r="G124" s="5"/>
      <c r="H124" s="5"/>
      <c r="I124" s="5"/>
      <c r="J124" s="5"/>
      <c r="K124" s="5"/>
    </row>
    <row r="125" spans="2:11" x14ac:dyDescent="0.25">
      <c r="B125" s="1424"/>
      <c r="C125" s="93"/>
      <c r="D125" s="45" t="s">
        <v>950</v>
      </c>
      <c r="E125" s="5"/>
      <c r="F125" s="5"/>
      <c r="G125" s="5"/>
      <c r="H125" s="5"/>
      <c r="I125" s="5"/>
      <c r="J125" s="5"/>
      <c r="K125" s="5"/>
    </row>
    <row r="126" spans="2:11" x14ac:dyDescent="0.25">
      <c r="B126" s="1424"/>
      <c r="C126" s="93"/>
      <c r="D126" s="45" t="s">
        <v>1268</v>
      </c>
      <c r="E126" s="5"/>
      <c r="F126" s="5"/>
      <c r="G126" s="5"/>
      <c r="H126" s="5"/>
      <c r="I126" s="5"/>
      <c r="J126" s="5"/>
      <c r="K126" s="5"/>
    </row>
    <row r="127" spans="2:11" x14ac:dyDescent="0.25">
      <c r="B127" s="1424"/>
      <c r="C127" s="93"/>
      <c r="D127" s="52" t="s">
        <v>1172</v>
      </c>
      <c r="E127" s="5"/>
      <c r="F127" s="5"/>
      <c r="G127" s="5"/>
      <c r="H127" s="5"/>
      <c r="I127" s="5"/>
      <c r="J127" s="5"/>
      <c r="K127" s="5"/>
    </row>
    <row r="128" spans="2:11" ht="36" x14ac:dyDescent="0.25">
      <c r="B128" s="1424"/>
      <c r="C128" s="93"/>
      <c r="D128" s="45" t="s">
        <v>1269</v>
      </c>
      <c r="E128" s="5"/>
      <c r="F128" s="5"/>
      <c r="G128" s="5"/>
      <c r="H128" s="5"/>
      <c r="I128" s="5"/>
      <c r="J128" s="5"/>
      <c r="K128" s="5"/>
    </row>
    <row r="129" spans="2:11" ht="36" x14ac:dyDescent="0.25">
      <c r="B129" s="1424"/>
      <c r="C129" s="93"/>
      <c r="D129" s="45" t="s">
        <v>1270</v>
      </c>
      <c r="E129" s="5"/>
      <c r="F129" s="5"/>
      <c r="G129" s="5"/>
      <c r="H129" s="5"/>
      <c r="I129" s="5"/>
      <c r="J129" s="5"/>
      <c r="K129" s="5"/>
    </row>
    <row r="130" spans="2:11" ht="15.75" thickBot="1" x14ac:dyDescent="0.3">
      <c r="B130" s="1425"/>
      <c r="C130" s="2"/>
      <c r="D130" s="40" t="s">
        <v>1271</v>
      </c>
      <c r="E130" s="5"/>
      <c r="F130" s="5"/>
      <c r="G130" s="5"/>
      <c r="H130" s="5"/>
      <c r="I130" s="5"/>
      <c r="J130" s="5"/>
      <c r="K130" s="5"/>
    </row>
    <row r="131" spans="2:11" ht="24.75" thickBot="1" x14ac:dyDescent="0.3">
      <c r="B131" s="46" t="s">
        <v>957</v>
      </c>
      <c r="C131" s="2"/>
      <c r="D131" s="40"/>
      <c r="E131" s="5"/>
      <c r="F131" s="5"/>
      <c r="G131" s="5"/>
      <c r="H131" s="5"/>
      <c r="I131" s="5"/>
      <c r="J131" s="5"/>
      <c r="K131" s="5"/>
    </row>
    <row r="132" spans="2:11" ht="15.75" thickBot="1" x14ac:dyDescent="0.3">
      <c r="B132" s="37"/>
      <c r="C132" s="87"/>
      <c r="D132" s="5"/>
      <c r="E132" s="5"/>
      <c r="F132" s="5"/>
      <c r="G132" s="5"/>
      <c r="H132" s="5"/>
      <c r="I132" s="5"/>
      <c r="J132" s="5"/>
      <c r="K132" s="5"/>
    </row>
    <row r="133" spans="2:11" ht="108" x14ac:dyDescent="0.25">
      <c r="B133" s="1423" t="s">
        <v>958</v>
      </c>
      <c r="C133" s="104"/>
      <c r="D133" s="62" t="s">
        <v>1272</v>
      </c>
      <c r="E133" s="5"/>
      <c r="F133" s="5"/>
      <c r="G133" s="5"/>
      <c r="H133" s="5"/>
      <c r="I133" s="5"/>
      <c r="J133" s="5"/>
      <c r="K133" s="5"/>
    </row>
    <row r="134" spans="2:11" ht="144" x14ac:dyDescent="0.25">
      <c r="B134" s="1424"/>
      <c r="C134" s="93"/>
      <c r="D134" s="45" t="s">
        <v>1273</v>
      </c>
      <c r="E134" s="5"/>
      <c r="F134" s="5"/>
      <c r="G134" s="5"/>
      <c r="H134" s="5"/>
      <c r="I134" s="5"/>
      <c r="J134" s="5"/>
      <c r="K134" s="5"/>
    </row>
    <row r="135" spans="2:11" ht="192" x14ac:dyDescent="0.25">
      <c r="B135" s="1424"/>
      <c r="C135" s="93"/>
      <c r="D135" s="45" t="s">
        <v>1274</v>
      </c>
      <c r="E135" s="5"/>
      <c r="F135" s="5"/>
      <c r="G135" s="5"/>
      <c r="H135" s="5"/>
      <c r="I135" s="5"/>
      <c r="J135" s="5"/>
      <c r="K135" s="5"/>
    </row>
    <row r="136" spans="2:11" ht="72" x14ac:dyDescent="0.25">
      <c r="B136" s="1424"/>
      <c r="C136" s="93"/>
      <c r="D136" s="45" t="s">
        <v>1275</v>
      </c>
      <c r="E136" s="5"/>
      <c r="F136" s="5"/>
      <c r="G136" s="5"/>
      <c r="H136" s="5"/>
      <c r="I136" s="5"/>
      <c r="J136" s="5"/>
      <c r="K136" s="5"/>
    </row>
    <row r="137" spans="2:11" ht="120.75" thickBot="1" x14ac:dyDescent="0.3">
      <c r="B137" s="1425"/>
      <c r="C137" s="2"/>
      <c r="D137" s="40" t="s">
        <v>1276</v>
      </c>
      <c r="E137" s="5"/>
      <c r="F137" s="5"/>
      <c r="G137" s="5"/>
      <c r="H137" s="5"/>
      <c r="I137" s="5"/>
      <c r="J137" s="5"/>
      <c r="K137" s="5"/>
    </row>
    <row r="138" spans="2:11" x14ac:dyDescent="0.25">
      <c r="B138" s="1423" t="s">
        <v>975</v>
      </c>
      <c r="C138" s="93"/>
      <c r="D138" s="52"/>
      <c r="E138" s="5"/>
      <c r="F138" s="5"/>
      <c r="G138" s="5"/>
      <c r="H138" s="5"/>
      <c r="I138" s="5"/>
      <c r="J138" s="5"/>
      <c r="K138" s="5"/>
    </row>
    <row r="139" spans="2:11" ht="36" x14ac:dyDescent="0.25">
      <c r="B139" s="1424"/>
      <c r="C139" s="93"/>
      <c r="D139" s="52" t="s">
        <v>97</v>
      </c>
      <c r="E139" s="5"/>
      <c r="F139" s="5"/>
      <c r="G139" s="5"/>
      <c r="H139" s="5"/>
      <c r="I139" s="5"/>
      <c r="J139" s="5"/>
      <c r="K139" s="5"/>
    </row>
    <row r="140" spans="2:11" x14ac:dyDescent="0.25">
      <c r="B140" s="1424"/>
      <c r="C140" s="93"/>
      <c r="D140" s="16"/>
      <c r="E140" s="5"/>
      <c r="F140" s="5"/>
      <c r="G140" s="5"/>
      <c r="H140" s="5"/>
      <c r="I140" s="5"/>
      <c r="J140" s="5"/>
      <c r="K140" s="5"/>
    </row>
    <row r="141" spans="2:11" x14ac:dyDescent="0.25">
      <c r="B141" s="1424"/>
      <c r="C141" s="93"/>
      <c r="D141" s="45" t="s">
        <v>976</v>
      </c>
      <c r="E141" s="5"/>
      <c r="F141" s="5"/>
      <c r="G141" s="5"/>
      <c r="H141" s="5"/>
      <c r="I141" s="5"/>
      <c r="J141" s="5"/>
      <c r="K141" s="5"/>
    </row>
    <row r="142" spans="2:11" ht="49.5" x14ac:dyDescent="0.25">
      <c r="B142" s="1424"/>
      <c r="C142" s="93"/>
      <c r="D142" s="45" t="s">
        <v>1277</v>
      </c>
      <c r="E142" s="5"/>
      <c r="F142" s="5"/>
      <c r="G142" s="5"/>
      <c r="H142" s="5"/>
      <c r="I142" s="5"/>
      <c r="J142" s="5"/>
      <c r="K142" s="5"/>
    </row>
    <row r="143" spans="2:11" ht="49.5" x14ac:dyDescent="0.25">
      <c r="B143" s="1424"/>
      <c r="C143" s="93"/>
      <c r="D143" s="45" t="s">
        <v>1278</v>
      </c>
      <c r="E143" s="5"/>
      <c r="F143" s="5"/>
      <c r="G143" s="5"/>
      <c r="H143" s="5"/>
      <c r="I143" s="5"/>
      <c r="J143" s="5"/>
      <c r="K143" s="5"/>
    </row>
    <row r="144" spans="2:11" ht="50.25" thickBot="1" x14ac:dyDescent="0.3">
      <c r="B144" s="1425"/>
      <c r="C144" s="2"/>
      <c r="D144" s="40" t="s">
        <v>1279</v>
      </c>
      <c r="E144" s="5"/>
      <c r="F144" s="5"/>
      <c r="G144" s="5"/>
      <c r="H144" s="5"/>
      <c r="I144" s="5"/>
      <c r="J144" s="5"/>
      <c r="K144" s="5"/>
    </row>
  </sheetData>
  <sheetProtection insertRows="0"/>
  <mergeCells count="52">
    <mergeCell ref="A4:D4"/>
    <mergeCell ref="B1:J1"/>
    <mergeCell ref="A2:J2"/>
    <mergeCell ref="A3:J3"/>
    <mergeCell ref="A5:J5"/>
    <mergeCell ref="B93:B99"/>
    <mergeCell ref="B101:E101"/>
    <mergeCell ref="D59:J59"/>
    <mergeCell ref="D60:J60"/>
    <mergeCell ref="D61:J61"/>
    <mergeCell ref="D70:J70"/>
    <mergeCell ref="D71:J71"/>
    <mergeCell ref="D72:J72"/>
    <mergeCell ref="I73:I74"/>
    <mergeCell ref="D73:D74"/>
    <mergeCell ref="E73:E74"/>
    <mergeCell ref="B16:B86"/>
    <mergeCell ref="D27:J27"/>
    <mergeCell ref="D36:J36"/>
    <mergeCell ref="D37:J37"/>
    <mergeCell ref="B119:D119"/>
    <mergeCell ref="B121:B130"/>
    <mergeCell ref="B133:B137"/>
    <mergeCell ref="B138:B144"/>
    <mergeCell ref="C17:C18"/>
    <mergeCell ref="D17:D18"/>
    <mergeCell ref="B102:B108"/>
    <mergeCell ref="D78:J78"/>
    <mergeCell ref="D79:J79"/>
    <mergeCell ref="D87:J87"/>
    <mergeCell ref="B88:B90"/>
    <mergeCell ref="D88:J88"/>
    <mergeCell ref="D89:J89"/>
    <mergeCell ref="D90:J90"/>
    <mergeCell ref="F73:F74"/>
    <mergeCell ref="G73:G74"/>
    <mergeCell ref="B11:D11"/>
    <mergeCell ref="E13:J13"/>
    <mergeCell ref="E14:J14"/>
    <mergeCell ref="B115:J116"/>
    <mergeCell ref="B117:J117"/>
    <mergeCell ref="H73:H74"/>
    <mergeCell ref="D48:J48"/>
    <mergeCell ref="D49:J49"/>
    <mergeCell ref="D50:J50"/>
    <mergeCell ref="D38:J38"/>
    <mergeCell ref="D47:J47"/>
    <mergeCell ref="F17:F18"/>
    <mergeCell ref="D25:I25"/>
    <mergeCell ref="E17:E18"/>
    <mergeCell ref="G17:G18"/>
    <mergeCell ref="B92:E92"/>
  </mergeCells>
  <conditionalFormatting sqref="F11">
    <cfRule type="notContainsBlanks" dxfId="96" priority="4">
      <formula>LEN(TRIM(F11))&gt;0</formula>
    </cfRule>
  </conditionalFormatting>
  <conditionalFormatting sqref="F12:J12 S12">
    <cfRule type="expression" dxfId="95" priority="2">
      <formula>E12="NO SE REPORTA"</formula>
    </cfRule>
    <cfRule type="expression" dxfId="94" priority="3">
      <formula>E11="NO APLICA"</formula>
    </cfRule>
  </conditionalFormatting>
  <conditionalFormatting sqref="E13">
    <cfRule type="expression" dxfId="93" priority="1">
      <formula>E12="SI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29:H34 E23:F23 E19:F19 E52:H57">
      <formula1>0</formula1>
    </dataValidation>
    <dataValidation type="whole" operator="greaterThanOrEqual" allowBlank="1" showInputMessage="1" showErrorMessage="1" errorTitle="ERROR" error="Valor en HECTAREAS (sin decimales)_x000a_" sqref="E20:F22 E40:H45 G75:H77 E63:H68">
      <formula1>0</formula1>
    </dataValidation>
    <dataValidation allowBlank="1" showInputMessage="1" showErrorMessage="1" promptTitle="ESTADO" prompt="en preparación_x000a_en aprestamiento_x000a_en declaración_x000a_Declarado" sqref="I75:I77"/>
    <dataValidation allowBlank="1" showInputMessage="1" showErrorMessage="1" sqref="I40 E46:H46 I52 E69:H69 I63 E58:H58 E24:F24 I29"/>
    <dataValidation type="list" allowBlank="1" showInputMessage="1" showErrorMessage="1" sqref="E12">
      <formula1>REPORTE</formula1>
    </dataValidation>
    <dataValidation type="list" allowBlank="1" showInputMessage="1" showErrorMessage="1" sqref="E11">
      <formula1>SI</formula1>
    </dataValidation>
  </dataValidations>
  <hyperlinks>
    <hyperlink ref="B10" location="'ANEXO 3'!A1" display="VOLVER AL INDICE"/>
  </hyperlinks>
  <pageMargins left="0.25" right="0.25" top="0.75" bottom="0.75" header="0.3" footer="0.3"/>
  <pageSetup paperSize="178"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U79"/>
  <sheetViews>
    <sheetView showGridLines="0" zoomScale="98" zoomScaleNormal="98" workbookViewId="0">
      <selection activeCell="B52" sqref="B52:D5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409"/>
      <c r="B1" s="410"/>
      <c r="C1" s="410"/>
      <c r="D1" s="410"/>
      <c r="E1" s="410"/>
      <c r="F1" s="410"/>
      <c r="G1" s="410"/>
      <c r="H1" s="410"/>
      <c r="I1" s="410"/>
      <c r="J1" s="411"/>
      <c r="K1" s="5"/>
      <c r="L1"/>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1"/>
      <c r="K2" s="5"/>
      <c r="L2"/>
      <c r="M2"/>
      <c r="N2"/>
      <c r="O2"/>
      <c r="P2"/>
      <c r="Q2"/>
      <c r="R2"/>
    </row>
    <row r="3" spans="1:21" s="388" customFormat="1" ht="16.5" customHeight="1" thickBot="1" x14ac:dyDescent="0.3">
      <c r="A3" s="1236" t="s">
        <v>841</v>
      </c>
      <c r="B3" s="1237"/>
      <c r="C3" s="1237"/>
      <c r="D3" s="1237"/>
      <c r="E3" s="1237"/>
      <c r="F3" s="1237"/>
      <c r="G3" s="1237"/>
      <c r="H3" s="1237"/>
      <c r="I3" s="1237"/>
      <c r="J3" s="1238"/>
      <c r="K3" s="5"/>
      <c r="L3"/>
      <c r="M3"/>
      <c r="N3"/>
      <c r="O3"/>
      <c r="P3"/>
      <c r="Q3"/>
      <c r="R3"/>
    </row>
    <row r="4" spans="1:21" s="388" customFormat="1" ht="16.5" thickBot="1" x14ac:dyDescent="0.3">
      <c r="A4" s="1397" t="s">
        <v>62</v>
      </c>
      <c r="B4" s="1398"/>
      <c r="C4" s="1398"/>
      <c r="D4" s="1398"/>
      <c r="E4" s="405" t="str">
        <f>'Datos Generales'!C6</f>
        <v>2022-II</v>
      </c>
      <c r="F4" s="405"/>
      <c r="G4" s="405"/>
      <c r="H4" s="405"/>
      <c r="I4" s="405"/>
      <c r="J4" s="406"/>
      <c r="K4" s="5"/>
      <c r="L4"/>
      <c r="M4"/>
      <c r="N4"/>
      <c r="O4"/>
      <c r="P4"/>
      <c r="Q4"/>
      <c r="R4"/>
    </row>
    <row r="5" spans="1:21" ht="16.5" customHeight="1" thickBot="1" x14ac:dyDescent="0.3">
      <c r="A5" s="1236" t="s">
        <v>99</v>
      </c>
      <c r="B5" s="1237"/>
      <c r="C5" s="1237"/>
      <c r="D5" s="1237"/>
      <c r="E5" s="1237"/>
      <c r="F5" s="1237"/>
      <c r="G5" s="1237"/>
      <c r="H5" s="1237"/>
      <c r="I5" s="1237"/>
      <c r="J5" s="1238"/>
      <c r="K5" s="5"/>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t="str">
        <f>IF(E10="NO APLICA","NO APLICA",IF(E11="NO SE REPORTA","SIN INFORMACION",+F20))</f>
        <v>NO APLICA</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1280</v>
      </c>
      <c r="F10" s="145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1456"/>
      <c r="H10" s="1456"/>
      <c r="I10" s="1456"/>
      <c r="J10" s="1456"/>
      <c r="K10" s="555"/>
      <c r="L10" s="555"/>
      <c r="M10" s="555"/>
      <c r="N10" s="555"/>
      <c r="O10" s="555"/>
      <c r="P10" s="555"/>
      <c r="Q10" s="555"/>
      <c r="R10" s="555"/>
      <c r="S10" s="555"/>
      <c r="T10" s="5"/>
      <c r="U10" s="5"/>
    </row>
    <row r="11" spans="1:21" ht="14.45" customHeight="1" x14ac:dyDescent="0.25">
      <c r="B11" s="358"/>
      <c r="C11" s="87"/>
      <c r="D11" s="171" t="str">
        <f>IF(E10="SI APLICA","¿El indicador no se reporta por limitaciones de información disponible? ","")</f>
        <v/>
      </c>
      <c r="E11" s="360" t="s">
        <v>1307</v>
      </c>
      <c r="F11" s="1506"/>
      <c r="G11" s="1506"/>
      <c r="H11" s="1506"/>
      <c r="I11" s="1506"/>
      <c r="J11" s="1506"/>
      <c r="K11" s="555"/>
      <c r="L11" s="555"/>
      <c r="M11" s="555"/>
      <c r="N11" s="555"/>
      <c r="O11" s="555"/>
      <c r="P11" s="555"/>
      <c r="Q11" s="555"/>
      <c r="R11" s="555"/>
      <c r="S11" s="557"/>
    </row>
    <row r="12" spans="1:21" ht="23.45" customHeight="1" x14ac:dyDescent="0.25">
      <c r="B12" s="356"/>
      <c r="C12" s="87"/>
      <c r="D12" s="171" t="str">
        <f>IF(E11="SI SE REPORTA","¿Qué programas o proyectos del Plan de Acción están asociados al indicador? ","")</f>
        <v/>
      </c>
      <c r="E12" s="1507"/>
      <c r="F12" s="1507"/>
      <c r="G12" s="1507"/>
      <c r="H12" s="1507"/>
      <c r="I12" s="1507"/>
      <c r="J12" s="1507"/>
      <c r="K12" s="555"/>
      <c r="L12" s="555"/>
      <c r="M12" s="555"/>
      <c r="N12" s="555"/>
      <c r="O12" s="555"/>
      <c r="P12" s="555"/>
      <c r="Q12" s="555"/>
      <c r="R12" s="555"/>
    </row>
    <row r="13" spans="1:21" ht="68.25" customHeight="1" x14ac:dyDescent="0.25">
      <c r="B13" s="356"/>
      <c r="C13" s="87"/>
      <c r="D13" s="171" t="s">
        <v>887</v>
      </c>
      <c r="E13" s="1508" t="s">
        <v>2507</v>
      </c>
      <c r="F13" s="1508"/>
      <c r="G13" s="1508"/>
      <c r="H13" s="1508"/>
      <c r="I13" s="1508"/>
      <c r="J13" s="1508"/>
      <c r="K13" s="555"/>
      <c r="L13" s="555"/>
      <c r="M13" s="555"/>
      <c r="N13" s="555"/>
      <c r="O13" s="555"/>
      <c r="P13" s="555"/>
      <c r="Q13" s="555"/>
      <c r="R13" s="555"/>
    </row>
    <row r="14" spans="1:21" ht="6.95" customHeight="1" thickBot="1" x14ac:dyDescent="0.3">
      <c r="B14" s="356"/>
      <c r="D14" s="5"/>
      <c r="E14" s="5"/>
      <c r="F14" s="5"/>
      <c r="G14" s="5"/>
      <c r="H14" s="5"/>
      <c r="I14" s="5"/>
      <c r="J14" s="5"/>
      <c r="K14" s="555"/>
      <c r="L14" s="555"/>
      <c r="M14" s="555"/>
      <c r="N14" s="555"/>
      <c r="O14" s="555"/>
      <c r="P14" s="555"/>
      <c r="Q14" s="555"/>
      <c r="R14" s="555"/>
    </row>
    <row r="15" spans="1:21" ht="15.75" thickTop="1" x14ac:dyDescent="0.25">
      <c r="B15" s="1509" t="s">
        <v>888</v>
      </c>
      <c r="C15" s="88"/>
      <c r="D15" s="1408" t="s">
        <v>1189</v>
      </c>
      <c r="E15" s="1409"/>
      <c r="F15" s="1409"/>
      <c r="G15" s="1409"/>
      <c r="H15" s="1409"/>
      <c r="I15" s="1409"/>
      <c r="J15" s="1410"/>
      <c r="K15" s="555"/>
      <c r="L15" s="555"/>
      <c r="M15" s="555"/>
      <c r="N15" s="555"/>
      <c r="O15" s="555"/>
      <c r="P15" s="555"/>
      <c r="Q15" s="555"/>
      <c r="R15" s="555"/>
    </row>
    <row r="16" spans="1:21" ht="15.75" thickBot="1" x14ac:dyDescent="0.3">
      <c r="B16" s="1424"/>
      <c r="C16" s="91"/>
      <c r="D16" s="1405" t="s">
        <v>1281</v>
      </c>
      <c r="E16" s="1406"/>
      <c r="F16" s="1406"/>
      <c r="G16" s="1406"/>
      <c r="H16" s="1406"/>
      <c r="I16" s="1406"/>
      <c r="J16" s="1407"/>
      <c r="K16" s="555"/>
      <c r="L16" s="555"/>
      <c r="M16" s="555"/>
      <c r="N16" s="555"/>
      <c r="O16" s="555"/>
      <c r="P16" s="555"/>
      <c r="Q16" s="555"/>
      <c r="R16" s="555"/>
    </row>
    <row r="17" spans="2:11" ht="24.75" thickBot="1" x14ac:dyDescent="0.3">
      <c r="B17" s="1424"/>
      <c r="C17" s="93"/>
      <c r="D17" s="38" t="s">
        <v>1282</v>
      </c>
      <c r="E17" s="43" t="s">
        <v>1283</v>
      </c>
      <c r="F17" s="38" t="s">
        <v>909</v>
      </c>
      <c r="G17" s="38" t="s">
        <v>910</v>
      </c>
      <c r="H17" s="38" t="s">
        <v>911</v>
      </c>
      <c r="I17" s="38" t="s">
        <v>912</v>
      </c>
      <c r="J17" s="38" t="s">
        <v>1016</v>
      </c>
      <c r="K17" s="5"/>
    </row>
    <row r="18" spans="2:11" ht="36.75" thickBot="1" x14ac:dyDescent="0.3">
      <c r="B18" s="1424"/>
      <c r="C18" s="93"/>
      <c r="D18" s="40" t="s">
        <v>1284</v>
      </c>
      <c r="E18" s="385"/>
      <c r="F18" s="205"/>
      <c r="G18" s="205"/>
      <c r="H18" s="205"/>
      <c r="I18" s="205"/>
      <c r="J18" s="42">
        <f>SUM(F18:I18)</f>
        <v>0</v>
      </c>
      <c r="K18" s="18"/>
    </row>
    <row r="19" spans="2:11" ht="36.75" thickBot="1" x14ac:dyDescent="0.3">
      <c r="B19" s="1424"/>
      <c r="C19" s="93"/>
      <c r="D19" s="40" t="s">
        <v>1285</v>
      </c>
      <c r="E19" s="205"/>
      <c r="F19" s="205"/>
      <c r="G19" s="205"/>
      <c r="H19" s="205"/>
      <c r="I19" s="205"/>
      <c r="J19" s="42">
        <f>SUM(F19:I19)</f>
        <v>0</v>
      </c>
      <c r="K19" s="18"/>
    </row>
    <row r="20" spans="2:11" ht="36.75" thickBot="1" x14ac:dyDescent="0.3">
      <c r="B20" s="1424"/>
      <c r="C20" s="2"/>
      <c r="D20" s="40" t="s">
        <v>99</v>
      </c>
      <c r="E20" s="185" t="str">
        <f t="shared" ref="E20:J20" si="0">IFERROR(E19/E18,"N.A.")</f>
        <v>N.A.</v>
      </c>
      <c r="F20" s="185" t="str">
        <f t="shared" si="0"/>
        <v>N.A.</v>
      </c>
      <c r="G20" s="185" t="str">
        <f t="shared" si="0"/>
        <v>N.A.</v>
      </c>
      <c r="H20" s="185" t="str">
        <f t="shared" si="0"/>
        <v>N.A.</v>
      </c>
      <c r="I20" s="185" t="str">
        <f t="shared" si="0"/>
        <v>N.A.</v>
      </c>
      <c r="J20" s="185" t="str">
        <f t="shared" si="0"/>
        <v>N.A.</v>
      </c>
      <c r="K20" s="18"/>
    </row>
    <row r="21" spans="2:11" ht="11.1" customHeight="1" thickBot="1" x14ac:dyDescent="0.3">
      <c r="B21" s="216"/>
      <c r="C21" s="88"/>
      <c r="D21" s="1405" t="s">
        <v>1286</v>
      </c>
      <c r="E21" s="1406"/>
      <c r="F21" s="1406"/>
      <c r="G21" s="1406"/>
      <c r="H21" s="1406"/>
      <c r="I21" s="1406"/>
      <c r="J21" s="1407"/>
      <c r="K21" s="5"/>
    </row>
    <row r="22" spans="2:11" ht="36.75" thickBot="1" x14ac:dyDescent="0.3">
      <c r="B22" s="216"/>
      <c r="C22" s="91"/>
      <c r="D22" s="51" t="s">
        <v>1287</v>
      </c>
      <c r="E22" s="228" t="s">
        <v>1288</v>
      </c>
      <c r="F22" s="62" t="s">
        <v>1253</v>
      </c>
      <c r="G22" s="290"/>
      <c r="H22" s="291"/>
      <c r="I22" s="291"/>
      <c r="J22" s="292"/>
      <c r="K22" s="5"/>
    </row>
    <row r="23" spans="2:11" s="188" customFormat="1" ht="15.75" thickBot="1" x14ac:dyDescent="0.3">
      <c r="B23" s="215"/>
      <c r="C23" s="81"/>
      <c r="D23" s="284"/>
      <c r="E23" s="496"/>
      <c r="F23" s="249"/>
      <c r="G23" s="285"/>
      <c r="J23" s="286"/>
      <c r="K23" s="18"/>
    </row>
    <row r="24" spans="2:11" s="188" customFormat="1" ht="15.75" thickBot="1" x14ac:dyDescent="0.3">
      <c r="B24" s="215"/>
      <c r="C24" s="81"/>
      <c r="D24" s="284"/>
      <c r="E24" s="249"/>
      <c r="F24" s="249"/>
      <c r="G24" s="285"/>
      <c r="J24" s="286"/>
      <c r="K24" s="18"/>
    </row>
    <row r="25" spans="2:11" s="188" customFormat="1" ht="15.75" thickBot="1" x14ac:dyDescent="0.3">
      <c r="B25" s="179"/>
      <c r="C25" s="8"/>
      <c r="D25" s="30"/>
      <c r="E25" s="30"/>
      <c r="F25" s="30"/>
      <c r="G25" s="287"/>
      <c r="H25" s="288"/>
      <c r="I25" s="288"/>
      <c r="J25" s="289"/>
    </row>
    <row r="26" spans="2:11" ht="15.75" thickBot="1" x14ac:dyDescent="0.3">
      <c r="B26" s="46" t="s">
        <v>924</v>
      </c>
      <c r="C26" s="92"/>
      <c r="D26" s="1435" t="s">
        <v>1289</v>
      </c>
      <c r="E26" s="1436"/>
      <c r="F26" s="1436"/>
      <c r="G26" s="1436"/>
      <c r="H26" s="1436"/>
      <c r="I26" s="1436"/>
      <c r="J26" s="1437"/>
    </row>
    <row r="27" spans="2:11" ht="24.75" thickBot="1" x14ac:dyDescent="0.3">
      <c r="B27" s="46" t="s">
        <v>926</v>
      </c>
      <c r="C27" s="92"/>
      <c r="D27" s="1435" t="s">
        <v>1202</v>
      </c>
      <c r="E27" s="1436"/>
      <c r="F27" s="1436"/>
      <c r="G27" s="1436"/>
      <c r="H27" s="1436"/>
      <c r="I27" s="1436"/>
      <c r="J27" s="1437"/>
    </row>
    <row r="28" spans="2:11" ht="15.75" thickBot="1" x14ac:dyDescent="0.3">
      <c r="B28" s="129"/>
      <c r="C28" s="100"/>
      <c r="D28" s="129"/>
      <c r="E28" s="129"/>
      <c r="F28" s="129"/>
      <c r="G28" s="129"/>
      <c r="H28" s="129"/>
      <c r="I28" s="129"/>
      <c r="J28" s="129"/>
      <c r="K28" s="5"/>
    </row>
    <row r="29" spans="2:11" ht="24" customHeight="1" thickBot="1" x14ac:dyDescent="0.3">
      <c r="B29" s="1426" t="s">
        <v>928</v>
      </c>
      <c r="C29" s="1427"/>
      <c r="D29" s="1427"/>
      <c r="E29" s="1428"/>
      <c r="F29" s="5"/>
      <c r="G29" s="5"/>
      <c r="H29" s="5"/>
      <c r="I29" s="5"/>
      <c r="J29" s="5"/>
      <c r="K29" s="5"/>
    </row>
    <row r="30" spans="2:11" ht="15.75" thickBot="1" x14ac:dyDescent="0.3">
      <c r="B30" s="1423">
        <v>1</v>
      </c>
      <c r="C30" s="93"/>
      <c r="D30" s="47" t="s">
        <v>929</v>
      </c>
      <c r="E30" s="30"/>
      <c r="F30" s="5"/>
      <c r="G30" s="5"/>
      <c r="H30" s="5"/>
      <c r="I30" s="5"/>
      <c r="J30" s="5"/>
      <c r="K30" s="5"/>
    </row>
    <row r="31" spans="2:11" ht="15.75" thickBot="1" x14ac:dyDescent="0.3">
      <c r="B31" s="1424"/>
      <c r="C31" s="93"/>
      <c r="D31" s="40" t="s">
        <v>7</v>
      </c>
      <c r="E31" s="30"/>
      <c r="F31" s="5"/>
      <c r="G31" s="5"/>
      <c r="H31" s="5"/>
      <c r="I31" s="5"/>
      <c r="J31" s="5"/>
      <c r="K31" s="5"/>
    </row>
    <row r="32" spans="2:11" ht="15.75" thickBot="1" x14ac:dyDescent="0.3">
      <c r="B32" s="1424"/>
      <c r="C32" s="93"/>
      <c r="D32" s="40" t="s">
        <v>930</v>
      </c>
      <c r="E32" s="30"/>
      <c r="F32" s="5"/>
      <c r="G32" s="5"/>
      <c r="H32" s="5"/>
      <c r="I32" s="5"/>
      <c r="J32" s="5"/>
      <c r="K32" s="5"/>
    </row>
    <row r="33" spans="2:11" ht="15.75" thickBot="1" x14ac:dyDescent="0.3">
      <c r="B33" s="1424"/>
      <c r="C33" s="93"/>
      <c r="D33" s="40" t="s">
        <v>9</v>
      </c>
      <c r="E33" s="30"/>
      <c r="F33" s="5"/>
      <c r="G33" s="5"/>
      <c r="H33" s="5"/>
      <c r="I33" s="5"/>
      <c r="J33" s="5"/>
      <c r="K33" s="5"/>
    </row>
    <row r="34" spans="2:11" ht="15.75" thickBot="1" x14ac:dyDescent="0.3">
      <c r="B34" s="1424"/>
      <c r="C34" s="93"/>
      <c r="D34" s="40" t="s">
        <v>11</v>
      </c>
      <c r="E34" s="30"/>
      <c r="F34" s="5"/>
      <c r="G34" s="5"/>
      <c r="H34" s="5"/>
      <c r="I34" s="5"/>
      <c r="J34" s="5"/>
      <c r="K34" s="5"/>
    </row>
    <row r="35" spans="2:11" ht="15.75" thickBot="1" x14ac:dyDescent="0.3">
      <c r="B35" s="1424"/>
      <c r="C35" s="93"/>
      <c r="D35" s="40" t="s">
        <v>13</v>
      </c>
      <c r="E35" s="30"/>
      <c r="F35" s="5"/>
      <c r="G35" s="5"/>
      <c r="H35" s="5"/>
      <c r="I35" s="5"/>
      <c r="J35" s="5"/>
      <c r="K35" s="5"/>
    </row>
    <row r="36" spans="2:11" ht="15.75" thickBot="1" x14ac:dyDescent="0.3">
      <c r="B36" s="1425"/>
      <c r="C36" s="2"/>
      <c r="D36" s="40" t="s">
        <v>931</v>
      </c>
      <c r="E36" s="30"/>
      <c r="F36" s="5"/>
      <c r="G36" s="5"/>
      <c r="H36" s="5"/>
      <c r="I36" s="5"/>
      <c r="J36" s="5"/>
      <c r="K36" s="5"/>
    </row>
    <row r="37" spans="2:11" ht="15.75" thickBot="1" x14ac:dyDescent="0.3">
      <c r="B37" s="1"/>
      <c r="C37" s="75"/>
      <c r="D37" s="5"/>
      <c r="E37" s="5"/>
      <c r="F37" s="5"/>
      <c r="G37" s="5"/>
      <c r="H37" s="5"/>
      <c r="I37" s="5"/>
      <c r="J37" s="5"/>
      <c r="K37" s="5"/>
    </row>
    <row r="38" spans="2:11" ht="15.75" thickBot="1" x14ac:dyDescent="0.3">
      <c r="B38" s="1426" t="s">
        <v>932</v>
      </c>
      <c r="C38" s="1427"/>
      <c r="D38" s="1427"/>
      <c r="E38" s="1428"/>
      <c r="F38" s="5"/>
      <c r="G38" s="5"/>
      <c r="H38" s="5"/>
      <c r="I38" s="5"/>
      <c r="J38" s="5"/>
      <c r="K38" s="5"/>
    </row>
    <row r="39" spans="2:11" ht="15.75" thickBot="1" x14ac:dyDescent="0.3">
      <c r="B39" s="1423">
        <v>1</v>
      </c>
      <c r="C39" s="93"/>
      <c r="D39" s="47" t="s">
        <v>929</v>
      </c>
      <c r="E39" s="217" t="s">
        <v>933</v>
      </c>
      <c r="F39" s="5"/>
      <c r="G39" s="5"/>
      <c r="H39" s="5"/>
      <c r="I39" s="5"/>
      <c r="J39" s="5"/>
      <c r="K39" s="5"/>
    </row>
    <row r="40" spans="2:11" ht="15.75" thickBot="1" x14ac:dyDescent="0.3">
      <c r="B40" s="1424"/>
      <c r="C40" s="93"/>
      <c r="D40" s="40" t="s">
        <v>7</v>
      </c>
      <c r="E40" s="217" t="s">
        <v>934</v>
      </c>
      <c r="F40" s="5"/>
      <c r="G40" s="5"/>
      <c r="H40" s="5"/>
      <c r="I40" s="5"/>
      <c r="J40" s="5"/>
      <c r="K40" s="5"/>
    </row>
    <row r="41" spans="2:11" ht="15.75" thickBot="1" x14ac:dyDescent="0.3">
      <c r="B41" s="1424"/>
      <c r="C41" s="93"/>
      <c r="D41" s="40" t="s">
        <v>930</v>
      </c>
      <c r="E41" s="237"/>
      <c r="F41" s="5"/>
      <c r="G41" s="5"/>
      <c r="H41" s="5"/>
      <c r="I41" s="5"/>
      <c r="J41" s="5"/>
      <c r="K41" s="5"/>
    </row>
    <row r="42" spans="2:11" ht="15.75" thickBot="1" x14ac:dyDescent="0.3">
      <c r="B42" s="1424"/>
      <c r="C42" s="93"/>
      <c r="D42" s="40" t="s">
        <v>9</v>
      </c>
      <c r="E42" s="237"/>
      <c r="F42" s="5"/>
      <c r="G42" s="5"/>
      <c r="H42" s="5"/>
      <c r="I42" s="5"/>
      <c r="J42" s="5"/>
      <c r="K42" s="5"/>
    </row>
    <row r="43" spans="2:11" ht="15.75" thickBot="1" x14ac:dyDescent="0.3">
      <c r="B43" s="1424"/>
      <c r="C43" s="93"/>
      <c r="D43" s="40" t="s">
        <v>11</v>
      </c>
      <c r="E43" s="237"/>
      <c r="F43" s="5"/>
      <c r="G43" s="5"/>
      <c r="H43" s="5"/>
      <c r="I43" s="5"/>
      <c r="J43" s="5"/>
      <c r="K43" s="5"/>
    </row>
    <row r="44" spans="2:11" ht="15.75" thickBot="1" x14ac:dyDescent="0.3">
      <c r="B44" s="1424"/>
      <c r="C44" s="93"/>
      <c r="D44" s="40" t="s">
        <v>13</v>
      </c>
      <c r="E44" s="237"/>
      <c r="F44" s="5"/>
      <c r="G44" s="5"/>
      <c r="H44" s="5"/>
      <c r="I44" s="5"/>
      <c r="J44" s="5"/>
      <c r="K44" s="5"/>
    </row>
    <row r="45" spans="2:11" ht="15.75" thickBot="1" x14ac:dyDescent="0.3">
      <c r="B45" s="1425"/>
      <c r="C45" s="2"/>
      <c r="D45" s="40" t="s">
        <v>931</v>
      </c>
      <c r="E45" s="237"/>
      <c r="F45" s="5"/>
      <c r="G45" s="5"/>
      <c r="H45" s="5"/>
      <c r="I45" s="5"/>
      <c r="J45" s="5"/>
      <c r="K45" s="5"/>
    </row>
    <row r="46" spans="2:11" ht="15.75" thickBot="1" x14ac:dyDescent="0.3">
      <c r="B46" s="1"/>
      <c r="C46" s="75"/>
      <c r="D46" s="5"/>
      <c r="E46" s="5"/>
      <c r="F46" s="5"/>
      <c r="G46" s="5"/>
      <c r="H46" s="5"/>
      <c r="I46" s="5"/>
      <c r="J46" s="5"/>
      <c r="K46" s="5"/>
    </row>
    <row r="47" spans="2:11" ht="15" customHeight="1" thickBot="1" x14ac:dyDescent="0.3">
      <c r="B47" s="121" t="s">
        <v>935</v>
      </c>
      <c r="C47" s="122"/>
      <c r="D47" s="122"/>
      <c r="E47" s="123"/>
      <c r="G47" s="5"/>
      <c r="H47" s="5"/>
      <c r="I47" s="5"/>
      <c r="J47" s="5"/>
      <c r="K47" s="5"/>
    </row>
    <row r="48" spans="2:11" ht="24.75" thickBot="1" x14ac:dyDescent="0.3">
      <c r="B48" s="46" t="s">
        <v>936</v>
      </c>
      <c r="C48" s="40" t="s">
        <v>937</v>
      </c>
      <c r="D48" s="40" t="s">
        <v>938</v>
      </c>
      <c r="E48" s="40" t="s">
        <v>939</v>
      </c>
      <c r="F48" s="5"/>
      <c r="G48" s="5"/>
      <c r="H48" s="5"/>
      <c r="I48" s="5"/>
      <c r="J48" s="5"/>
    </row>
    <row r="49" spans="2:11" ht="72.75" thickBot="1" x14ac:dyDescent="0.3">
      <c r="B49" s="48">
        <v>42401</v>
      </c>
      <c r="C49" s="40">
        <v>1</v>
      </c>
      <c r="D49" s="49" t="s">
        <v>1290</v>
      </c>
      <c r="E49" s="40"/>
      <c r="F49" s="5"/>
      <c r="G49" s="5"/>
      <c r="H49" s="5"/>
      <c r="I49" s="5"/>
      <c r="J49" s="5"/>
    </row>
    <row r="50" spans="2:11" ht="15.75" thickBot="1" x14ac:dyDescent="0.3">
      <c r="B50" s="1"/>
      <c r="C50" s="75"/>
      <c r="D50" s="5"/>
      <c r="E50" s="5"/>
      <c r="F50" s="5"/>
      <c r="G50" s="5"/>
      <c r="H50" s="5"/>
      <c r="I50" s="5"/>
      <c r="J50" s="5"/>
      <c r="K50" s="5"/>
    </row>
    <row r="51" spans="2:11" ht="15.75" thickBot="1" x14ac:dyDescent="0.3">
      <c r="B51" s="4" t="s">
        <v>1291</v>
      </c>
      <c r="C51" s="95"/>
      <c r="D51" s="5"/>
      <c r="E51" s="5"/>
      <c r="F51" s="5"/>
      <c r="G51" s="5"/>
      <c r="H51" s="5"/>
      <c r="I51" s="5"/>
      <c r="J51" s="5"/>
      <c r="K51" s="5"/>
    </row>
    <row r="52" spans="2:11" x14ac:dyDescent="0.25">
      <c r="B52" s="1471" t="s">
        <v>2664</v>
      </c>
      <c r="C52" s="1472"/>
      <c r="D52" s="1472"/>
      <c r="E52" s="5"/>
      <c r="F52" s="5"/>
      <c r="G52" s="5"/>
      <c r="H52" s="5"/>
      <c r="I52" s="5"/>
      <c r="J52" s="5"/>
      <c r="K52" s="5"/>
    </row>
    <row r="53" spans="2:11" x14ac:dyDescent="0.25">
      <c r="B53" s="1471"/>
      <c r="C53" s="1472"/>
      <c r="D53" s="1472"/>
      <c r="E53" s="5"/>
      <c r="F53" s="5"/>
      <c r="G53" s="5"/>
      <c r="H53" s="5"/>
      <c r="I53" s="5"/>
      <c r="J53" s="5"/>
      <c r="K53" s="5"/>
    </row>
    <row r="54" spans="2:11" ht="15.75" thickBot="1" x14ac:dyDescent="0.3">
      <c r="B54" s="5"/>
      <c r="D54" s="5"/>
      <c r="E54" s="5"/>
      <c r="F54" s="5"/>
      <c r="G54" s="5"/>
      <c r="H54" s="5"/>
      <c r="I54" s="5"/>
      <c r="J54" s="5"/>
      <c r="K54" s="5"/>
    </row>
    <row r="55" spans="2:11" ht="15.75" thickBot="1" x14ac:dyDescent="0.3">
      <c r="B55" s="1426" t="s">
        <v>941</v>
      </c>
      <c r="C55" s="1427"/>
      <c r="D55" s="1428"/>
      <c r="E55" s="5"/>
      <c r="F55" s="5"/>
      <c r="G55" s="5"/>
      <c r="H55" s="5"/>
      <c r="I55" s="5"/>
      <c r="J55" s="5"/>
      <c r="K55" s="5"/>
    </row>
    <row r="56" spans="2:11" ht="60.75" thickBot="1" x14ac:dyDescent="0.3">
      <c r="B56" s="46" t="s">
        <v>942</v>
      </c>
      <c r="C56" s="2"/>
      <c r="D56" s="40" t="s">
        <v>1292</v>
      </c>
      <c r="E56" s="5"/>
      <c r="F56" s="5"/>
      <c r="G56" s="5"/>
      <c r="H56" s="5"/>
      <c r="I56" s="5"/>
      <c r="J56" s="5"/>
      <c r="K56" s="5"/>
    </row>
    <row r="57" spans="2:11" x14ac:dyDescent="0.25">
      <c r="B57" s="1423" t="s">
        <v>944</v>
      </c>
      <c r="C57" s="93"/>
      <c r="D57" s="52" t="s">
        <v>945</v>
      </c>
      <c r="E57" s="5"/>
      <c r="F57" s="5"/>
      <c r="G57" s="5"/>
      <c r="H57" s="5"/>
      <c r="I57" s="5"/>
      <c r="J57" s="5"/>
      <c r="K57" s="5"/>
    </row>
    <row r="58" spans="2:11" ht="120" x14ac:dyDescent="0.25">
      <c r="B58" s="1424"/>
      <c r="C58" s="93"/>
      <c r="D58" s="45" t="s">
        <v>1293</v>
      </c>
      <c r="E58" s="5"/>
      <c r="F58" s="5"/>
      <c r="G58" s="5"/>
      <c r="H58" s="5"/>
      <c r="I58" s="5"/>
      <c r="J58" s="5"/>
      <c r="K58" s="5"/>
    </row>
    <row r="59" spans="2:11" x14ac:dyDescent="0.25">
      <c r="B59" s="1424"/>
      <c r="C59" s="93"/>
      <c r="D59" s="52" t="s">
        <v>948</v>
      </c>
      <c r="E59" s="5"/>
      <c r="F59" s="5"/>
      <c r="G59" s="5"/>
      <c r="H59" s="5"/>
      <c r="I59" s="5"/>
      <c r="J59" s="5"/>
      <c r="K59" s="5"/>
    </row>
    <row r="60" spans="2:11" x14ac:dyDescent="0.25">
      <c r="B60" s="1424"/>
      <c r="C60" s="93"/>
      <c r="D60" s="45" t="s">
        <v>1207</v>
      </c>
      <c r="E60" s="5"/>
      <c r="F60" s="5"/>
      <c r="G60" s="5"/>
      <c r="H60" s="5"/>
      <c r="I60" s="5"/>
      <c r="J60" s="5"/>
      <c r="K60" s="5"/>
    </row>
    <row r="61" spans="2:11" x14ac:dyDescent="0.25">
      <c r="B61" s="1424"/>
      <c r="C61" s="93"/>
      <c r="D61" s="45" t="s">
        <v>1294</v>
      </c>
      <c r="E61" s="5"/>
      <c r="F61" s="5"/>
      <c r="G61" s="5"/>
      <c r="H61" s="5"/>
      <c r="I61" s="5"/>
      <c r="J61" s="5"/>
      <c r="K61" s="5"/>
    </row>
    <row r="62" spans="2:11" x14ac:dyDescent="0.25">
      <c r="B62" s="1424"/>
      <c r="C62" s="93"/>
      <c r="D62" s="45" t="s">
        <v>1052</v>
      </c>
      <c r="E62" s="5"/>
      <c r="F62" s="5"/>
      <c r="G62" s="5"/>
      <c r="H62" s="5"/>
      <c r="I62" s="5"/>
      <c r="J62" s="5"/>
      <c r="K62" s="5"/>
    </row>
    <row r="63" spans="2:11" x14ac:dyDescent="0.25">
      <c r="B63" s="1424"/>
      <c r="C63" s="93"/>
      <c r="D63" s="45" t="s">
        <v>1295</v>
      </c>
      <c r="E63" s="5"/>
      <c r="F63" s="5"/>
      <c r="G63" s="5"/>
      <c r="H63" s="5"/>
      <c r="I63" s="5"/>
      <c r="J63" s="5"/>
      <c r="K63" s="5"/>
    </row>
    <row r="64" spans="2:11" x14ac:dyDescent="0.25">
      <c r="B64" s="1424"/>
      <c r="C64" s="93"/>
      <c r="D64" s="45" t="s">
        <v>1296</v>
      </c>
      <c r="E64" s="5"/>
      <c r="F64" s="5"/>
      <c r="G64" s="5"/>
      <c r="H64" s="5"/>
      <c r="I64" s="5"/>
      <c r="J64" s="5"/>
      <c r="K64" s="5"/>
    </row>
    <row r="65" spans="2:11" x14ac:dyDescent="0.25">
      <c r="B65" s="1424"/>
      <c r="C65" s="93"/>
      <c r="D65" s="45" t="s">
        <v>1297</v>
      </c>
      <c r="E65" s="5"/>
      <c r="F65" s="5"/>
      <c r="G65" s="5"/>
      <c r="H65" s="5"/>
      <c r="I65" s="5"/>
      <c r="J65" s="5"/>
      <c r="K65" s="5"/>
    </row>
    <row r="66" spans="2:11" x14ac:dyDescent="0.25">
      <c r="B66" s="1424"/>
      <c r="C66" s="93"/>
      <c r="D66" s="45" t="s">
        <v>1298</v>
      </c>
      <c r="E66" s="5"/>
      <c r="F66" s="5"/>
      <c r="G66" s="5"/>
      <c r="H66" s="5"/>
      <c r="I66" s="5"/>
      <c r="J66" s="5"/>
      <c r="K66" s="5"/>
    </row>
    <row r="67" spans="2:11" x14ac:dyDescent="0.25">
      <c r="B67" s="1424"/>
      <c r="C67" s="93"/>
      <c r="D67" s="52" t="s">
        <v>1172</v>
      </c>
      <c r="E67" s="5"/>
      <c r="F67" s="5"/>
      <c r="G67" s="5"/>
      <c r="H67" s="5"/>
      <c r="I67" s="5"/>
      <c r="J67" s="5"/>
      <c r="K67" s="5"/>
    </row>
    <row r="68" spans="2:11" ht="36.75" thickBot="1" x14ac:dyDescent="0.3">
      <c r="B68" s="1425"/>
      <c r="C68" s="2"/>
      <c r="D68" s="40" t="s">
        <v>1269</v>
      </c>
      <c r="E68" s="5"/>
      <c r="F68" s="5"/>
      <c r="G68" s="5"/>
      <c r="H68" s="5"/>
      <c r="I68" s="5"/>
      <c r="J68" s="5"/>
      <c r="K68" s="5"/>
    </row>
    <row r="69" spans="2:11" ht="24.75" thickBot="1" x14ac:dyDescent="0.3">
      <c r="B69" s="46" t="s">
        <v>957</v>
      </c>
      <c r="C69" s="2"/>
      <c r="D69" s="40"/>
      <c r="E69" s="5"/>
      <c r="F69" s="5"/>
      <c r="G69" s="5"/>
      <c r="H69" s="5"/>
      <c r="I69" s="5"/>
      <c r="J69" s="5"/>
      <c r="K69" s="5"/>
    </row>
    <row r="70" spans="2:11" ht="144" x14ac:dyDescent="0.25">
      <c r="B70" s="1423" t="s">
        <v>958</v>
      </c>
      <c r="C70" s="93"/>
      <c r="D70" s="45" t="s">
        <v>1299</v>
      </c>
      <c r="E70" s="5"/>
      <c r="F70" s="5"/>
      <c r="G70" s="5"/>
      <c r="H70" s="5"/>
      <c r="I70" s="5"/>
      <c r="J70" s="5"/>
      <c r="K70" s="5"/>
    </row>
    <row r="71" spans="2:11" ht="72" x14ac:dyDescent="0.25">
      <c r="B71" s="1424"/>
      <c r="C71" s="93"/>
      <c r="D71" s="45" t="s">
        <v>1300</v>
      </c>
      <c r="E71" s="5"/>
      <c r="F71" s="5"/>
      <c r="G71" s="5"/>
      <c r="H71" s="5"/>
      <c r="I71" s="5"/>
      <c r="J71" s="5"/>
      <c r="K71" s="5"/>
    </row>
    <row r="72" spans="2:11" ht="84" x14ac:dyDescent="0.25">
      <c r="B72" s="1424"/>
      <c r="C72" s="93"/>
      <c r="D72" s="45" t="s">
        <v>1301</v>
      </c>
      <c r="E72" s="5"/>
      <c r="F72" s="5"/>
      <c r="G72" s="5"/>
      <c r="H72" s="5"/>
      <c r="I72" s="5"/>
      <c r="J72" s="5"/>
      <c r="K72" s="5"/>
    </row>
    <row r="73" spans="2:11" ht="108.75" thickBot="1" x14ac:dyDescent="0.3">
      <c r="B73" s="1425"/>
      <c r="C73" s="2"/>
      <c r="D73" s="40" t="s">
        <v>1302</v>
      </c>
      <c r="E73" s="5"/>
      <c r="F73" s="5"/>
      <c r="G73" s="5"/>
      <c r="H73" s="5"/>
      <c r="I73" s="5"/>
      <c r="J73" s="5"/>
      <c r="K73" s="5"/>
    </row>
    <row r="74" spans="2:11" ht="36" x14ac:dyDescent="0.25">
      <c r="B74" s="1423" t="s">
        <v>975</v>
      </c>
      <c r="C74" s="93"/>
      <c r="D74" s="52" t="s">
        <v>99</v>
      </c>
      <c r="E74" s="5"/>
      <c r="F74" s="5"/>
      <c r="G74" s="5"/>
      <c r="H74" s="5"/>
      <c r="I74" s="5"/>
      <c r="J74" s="5"/>
      <c r="K74" s="5"/>
    </row>
    <row r="75" spans="2:11" x14ac:dyDescent="0.25">
      <c r="B75" s="1424"/>
      <c r="C75" s="93"/>
      <c r="D75" s="16"/>
      <c r="E75" s="5"/>
      <c r="F75" s="5"/>
      <c r="G75" s="5"/>
      <c r="H75" s="5"/>
      <c r="I75" s="5"/>
      <c r="J75" s="5"/>
      <c r="K75" s="5"/>
    </row>
    <row r="76" spans="2:11" x14ac:dyDescent="0.25">
      <c r="B76" s="1424"/>
      <c r="C76" s="93"/>
      <c r="D76" s="45" t="s">
        <v>976</v>
      </c>
      <c r="E76" s="5"/>
      <c r="F76" s="5"/>
      <c r="G76" s="5"/>
      <c r="H76" s="5"/>
      <c r="I76" s="5"/>
      <c r="J76" s="5"/>
      <c r="K76" s="5"/>
    </row>
    <row r="77" spans="2:11" ht="61.5" x14ac:dyDescent="0.25">
      <c r="B77" s="1424"/>
      <c r="C77" s="93"/>
      <c r="D77" s="45" t="s">
        <v>1303</v>
      </c>
      <c r="E77" s="5"/>
      <c r="F77" s="5"/>
      <c r="G77" s="5"/>
      <c r="H77" s="5"/>
      <c r="I77" s="5"/>
      <c r="J77" s="5"/>
      <c r="K77" s="5"/>
    </row>
    <row r="78" spans="2:11" ht="61.5" x14ac:dyDescent="0.25">
      <c r="B78" s="1424"/>
      <c r="C78" s="93"/>
      <c r="D78" s="45" t="s">
        <v>1304</v>
      </c>
      <c r="E78" s="5"/>
      <c r="F78" s="5"/>
      <c r="G78" s="5"/>
      <c r="H78" s="5"/>
      <c r="I78" s="5"/>
      <c r="J78" s="5"/>
      <c r="K78" s="5"/>
    </row>
    <row r="79" spans="2:11" ht="38.25" thickBot="1" x14ac:dyDescent="0.3">
      <c r="B79" s="1425"/>
      <c r="C79" s="2"/>
      <c r="D79" s="40" t="s">
        <v>1305</v>
      </c>
      <c r="E79" s="5"/>
      <c r="F79" s="5"/>
      <c r="G79" s="5"/>
      <c r="H79" s="5"/>
      <c r="I79" s="5"/>
      <c r="J79" s="5"/>
      <c r="K79" s="5"/>
    </row>
  </sheetData>
  <mergeCells count="24">
    <mergeCell ref="A4:D4"/>
    <mergeCell ref="A2:J2"/>
    <mergeCell ref="A3:J3"/>
    <mergeCell ref="A5:J5"/>
    <mergeCell ref="B74:B79"/>
    <mergeCell ref="B15:B20"/>
    <mergeCell ref="D15:J15"/>
    <mergeCell ref="D16:J16"/>
    <mergeCell ref="D26:J26"/>
    <mergeCell ref="D27:J27"/>
    <mergeCell ref="B29:E29"/>
    <mergeCell ref="B30:B36"/>
    <mergeCell ref="B38:E38"/>
    <mergeCell ref="B39:B45"/>
    <mergeCell ref="B52:D53"/>
    <mergeCell ref="D21:J21"/>
    <mergeCell ref="B55:D55"/>
    <mergeCell ref="B57:B68"/>
    <mergeCell ref="B70:B73"/>
    <mergeCell ref="B10:D10"/>
    <mergeCell ref="F10:J10"/>
    <mergeCell ref="F11:J11"/>
    <mergeCell ref="E12:J12"/>
    <mergeCell ref="E13:J13"/>
  </mergeCells>
  <conditionalFormatting sqref="F10">
    <cfRule type="notContainsBlanks" dxfId="92" priority="4">
      <formula>LEN(TRIM(F10))&gt;0</formula>
    </cfRule>
  </conditionalFormatting>
  <conditionalFormatting sqref="F11 S11">
    <cfRule type="expression" dxfId="91" priority="2">
      <formula>E11="NO SE REPORTA"</formula>
    </cfRule>
    <cfRule type="expression" dxfId="90" priority="3">
      <formula>E10="NO APLICA"</formula>
    </cfRule>
  </conditionalFormatting>
  <conditionalFormatting sqref="E12">
    <cfRule type="expression" dxfId="89"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I19">
      <formula1>0</formula1>
    </dataValidation>
    <dataValidation allowBlank="1" showInputMessage="1" showErrorMessage="1" promptTitle="OJO" prompt="NO TOCAR" sqref="E20:J20 J18:J19"/>
    <dataValidation type="whole" operator="greaterThanOrEqual" allowBlank="1" showInputMessage="1" showErrorMessage="1" errorTitle="ERROR" error="Valor en HECTAREAS (sin decimales)_x000a_" sqref="G28:H28">
      <formula1>0</formula1>
    </dataValidation>
    <dataValidation allowBlank="1" showInputMessage="1" showErrorMessage="1" promptTitle="ESTADO" prompt="en preparación_x000a_en aprestamiento_x000a_en declaración_x000a_Declarado" sqref="I28"/>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U184"/>
  <sheetViews>
    <sheetView showGridLines="0" zoomScale="98" zoomScaleNormal="98" workbookViewId="0">
      <selection activeCell="M32" sqref="M32"/>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 min="11" max="11" width="11.42578125"/>
    <col min="12" max="12" width="23" customWidth="1"/>
    <col min="13" max="13" width="11" customWidth="1"/>
    <col min="14" max="16" width="8.8554687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100</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c r="L6" s="5"/>
    </row>
    <row r="7" spans="1:21" ht="15.75" thickBot="1" x14ac:dyDescent="0.3">
      <c r="B7" s="74"/>
      <c r="C7" s="76"/>
      <c r="D7" s="5"/>
      <c r="E7" s="17"/>
      <c r="F7" s="5" t="s">
        <v>880</v>
      </c>
      <c r="G7" s="5"/>
      <c r="H7" s="5"/>
      <c r="I7" s="5"/>
      <c r="J7" s="5"/>
      <c r="K7" s="5" t="s">
        <v>1306</v>
      </c>
    </row>
    <row r="8" spans="1:21" ht="15.75" thickBot="1" x14ac:dyDescent="0.3">
      <c r="B8" s="171" t="s">
        <v>881</v>
      </c>
      <c r="C8" s="210">
        <v>2022</v>
      </c>
      <c r="D8" s="214" t="s">
        <v>1280</v>
      </c>
      <c r="E8" s="211"/>
      <c r="F8" s="5" t="s">
        <v>882</v>
      </c>
      <c r="G8" s="5"/>
      <c r="H8" s="5"/>
      <c r="I8" s="5"/>
      <c r="J8" s="5"/>
      <c r="K8" s="5"/>
      <c r="L8" s="5"/>
    </row>
    <row r="9" spans="1:21" x14ac:dyDescent="0.25">
      <c r="B9" s="356" t="s">
        <v>883</v>
      </c>
      <c r="C9" s="87"/>
      <c r="D9" s="5"/>
      <c r="E9" s="5"/>
      <c r="F9" s="5"/>
      <c r="G9" s="5"/>
      <c r="H9" s="5"/>
      <c r="I9" s="5"/>
    </row>
    <row r="10" spans="1:21" x14ac:dyDescent="0.25">
      <c r="B10" s="1447" t="s">
        <v>884</v>
      </c>
      <c r="C10" s="1447"/>
      <c r="D10" s="1447"/>
      <c r="E10" s="359" t="s">
        <v>885</v>
      </c>
      <c r="F10" s="1510" t="s">
        <v>2665</v>
      </c>
      <c r="G10" s="1510"/>
      <c r="H10" s="1510"/>
      <c r="I10" s="1510"/>
      <c r="J10" s="1510"/>
      <c r="K10" s="1510"/>
      <c r="L10" s="1510"/>
      <c r="M10" s="1510"/>
      <c r="N10" s="1510"/>
      <c r="O10" s="1510"/>
      <c r="P10" s="1510"/>
      <c r="Q10" s="555"/>
      <c r="R10" s="555"/>
      <c r="S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1307</v>
      </c>
      <c r="F11" s="1455"/>
      <c r="G11" s="1455"/>
      <c r="H11" s="1455"/>
      <c r="I11" s="1455"/>
      <c r="J11" s="1455"/>
      <c r="K11" s="1455"/>
      <c r="L11" s="1455"/>
      <c r="M11" s="1455"/>
      <c r="N11" s="1455"/>
      <c r="O11" s="1455"/>
      <c r="P11" s="1455"/>
      <c r="Q11" s="557"/>
      <c r="R11" s="557"/>
      <c r="S11" s="557"/>
    </row>
    <row r="12" spans="1:21" ht="23.45" customHeight="1" x14ac:dyDescent="0.25">
      <c r="B12" s="356"/>
      <c r="C12" s="87"/>
      <c r="D12" s="171" t="str">
        <f>IF(E11="SI SE REPORTA","¿Qué programas o proyectos del Plan de Acción están asociados al indicador? ","")</f>
        <v/>
      </c>
      <c r="E12" s="552"/>
      <c r="F12" s="552"/>
      <c r="G12" s="552"/>
      <c r="H12" s="552"/>
      <c r="I12" s="552"/>
      <c r="J12" s="552"/>
      <c r="K12" s="552"/>
      <c r="L12" s="552"/>
      <c r="M12" s="552"/>
      <c r="N12" s="552"/>
      <c r="O12" s="552"/>
      <c r="P12" s="552"/>
      <c r="Q12" s="555"/>
      <c r="R12" s="555"/>
    </row>
    <row r="13" spans="1:21" ht="21.95" customHeight="1" x14ac:dyDescent="0.25">
      <c r="B13" s="356"/>
      <c r="C13" s="87"/>
      <c r="D13" s="171" t="s">
        <v>887</v>
      </c>
      <c r="E13" s="1457" t="s">
        <v>2111</v>
      </c>
      <c r="F13" s="1457"/>
      <c r="G13" s="1457"/>
      <c r="H13" s="1457"/>
      <c r="I13" s="1457"/>
      <c r="J13" s="1457"/>
      <c r="K13" s="1457"/>
      <c r="L13" s="1457"/>
      <c r="M13" s="1457"/>
      <c r="N13" s="1457"/>
      <c r="O13" s="1457"/>
      <c r="P13" s="1457"/>
      <c r="Q13" s="557"/>
      <c r="R13" s="557"/>
    </row>
    <row r="14" spans="1:21" ht="6.95" customHeight="1" thickBot="1" x14ac:dyDescent="0.3">
      <c r="B14" s="356"/>
      <c r="C14" s="87"/>
      <c r="D14" s="5"/>
      <c r="E14" s="5"/>
      <c r="F14" s="5"/>
      <c r="G14" s="5"/>
      <c r="H14" s="5"/>
      <c r="I14" s="5"/>
      <c r="Q14" s="555"/>
      <c r="R14" s="555"/>
    </row>
    <row r="15" spans="1:21" ht="15.6" customHeight="1" thickBot="1" x14ac:dyDescent="0.3">
      <c r="B15" s="1423" t="s">
        <v>888</v>
      </c>
      <c r="C15" s="88"/>
      <c r="D15" s="1408" t="s">
        <v>1189</v>
      </c>
      <c r="E15" s="1409"/>
      <c r="F15" s="1409"/>
      <c r="G15" s="1409"/>
      <c r="H15" s="1409"/>
      <c r="I15" s="1410"/>
      <c r="K15" s="298" t="s">
        <v>1282</v>
      </c>
      <c r="L15" s="298" t="s">
        <v>1308</v>
      </c>
      <c r="M15" s="298" t="s">
        <v>1309</v>
      </c>
      <c r="N15" s="298" t="s">
        <v>990</v>
      </c>
      <c r="O15" s="213"/>
      <c r="Q15" s="557"/>
      <c r="R15" s="557"/>
    </row>
    <row r="16" spans="1:21" ht="21.6" customHeight="1" thickBot="1" x14ac:dyDescent="0.3">
      <c r="B16" s="1424"/>
      <c r="C16" s="97" t="s">
        <v>842</v>
      </c>
      <c r="D16" s="43" t="s">
        <v>1015</v>
      </c>
      <c r="E16" s="38" t="s">
        <v>1016</v>
      </c>
      <c r="F16" s="5"/>
      <c r="G16" s="5"/>
      <c r="I16" s="21"/>
      <c r="K16" s="298" t="s">
        <v>1310</v>
      </c>
      <c r="L16" s="306" t="s">
        <v>1311</v>
      </c>
      <c r="M16" s="299">
        <v>0.05</v>
      </c>
      <c r="N16" s="299">
        <v>0.05</v>
      </c>
      <c r="O16" s="213"/>
      <c r="Q16" s="555"/>
      <c r="R16" s="555"/>
    </row>
    <row r="17" spans="2:18" ht="43.5" customHeight="1" thickBot="1" x14ac:dyDescent="0.3">
      <c r="B17" s="1424"/>
      <c r="C17" s="2" t="s">
        <v>1017</v>
      </c>
      <c r="D17" s="40" t="s">
        <v>2666</v>
      </c>
      <c r="E17" s="206">
        <v>716344</v>
      </c>
      <c r="F17" s="5"/>
      <c r="G17" s="5"/>
      <c r="I17" s="21"/>
      <c r="K17" s="298" t="s">
        <v>1312</v>
      </c>
      <c r="L17" s="306" t="s">
        <v>1313</v>
      </c>
      <c r="M17" s="299">
        <v>0.15</v>
      </c>
      <c r="N17" s="299">
        <f>+M17+N16</f>
        <v>0.2</v>
      </c>
      <c r="O17" s="213"/>
    </row>
    <row r="18" spans="2:18" ht="50.25" customHeight="1" thickBot="1" x14ac:dyDescent="0.3">
      <c r="B18" s="1424"/>
      <c r="C18" s="2" t="s">
        <v>1019</v>
      </c>
      <c r="D18" s="40" t="s">
        <v>1314</v>
      </c>
      <c r="E18" s="206">
        <v>0</v>
      </c>
      <c r="F18" s="5"/>
      <c r="G18" s="5"/>
      <c r="I18" s="21"/>
      <c r="K18" s="298" t="s">
        <v>1315</v>
      </c>
      <c r="L18" s="306" t="s">
        <v>1316</v>
      </c>
      <c r="M18" s="299">
        <v>0.15</v>
      </c>
      <c r="N18" s="299">
        <f>+M18+N17</f>
        <v>0.35</v>
      </c>
      <c r="O18" s="213"/>
    </row>
    <row r="19" spans="2:18" ht="48" customHeight="1" thickBot="1" x14ac:dyDescent="0.3">
      <c r="B19" s="1424"/>
      <c r="C19" s="2" t="s">
        <v>1021</v>
      </c>
      <c r="D19" s="40" t="s">
        <v>1317</v>
      </c>
      <c r="E19" s="206">
        <v>0</v>
      </c>
      <c r="F19" s="5"/>
      <c r="G19" s="5"/>
      <c r="I19" s="21"/>
      <c r="K19" s="298" t="s">
        <v>1318</v>
      </c>
      <c r="L19" s="306" t="s">
        <v>1319</v>
      </c>
      <c r="M19" s="299">
        <v>0.2</v>
      </c>
      <c r="N19" s="299">
        <f>+M19+N18</f>
        <v>0.55000000000000004</v>
      </c>
      <c r="O19" s="213"/>
    </row>
    <row r="20" spans="2:18" ht="34.700000000000003" customHeight="1" thickBot="1" x14ac:dyDescent="0.3">
      <c r="B20" s="1424"/>
      <c r="C20" s="2" t="s">
        <v>1103</v>
      </c>
      <c r="D20" s="40" t="s">
        <v>1320</v>
      </c>
      <c r="E20" s="134">
        <f>+E18+E19</f>
        <v>0</v>
      </c>
      <c r="F20" s="5"/>
      <c r="G20" s="5"/>
      <c r="I20" s="21"/>
      <c r="K20" s="298" t="s">
        <v>1321</v>
      </c>
      <c r="L20" s="306" t="s">
        <v>1322</v>
      </c>
      <c r="M20" s="299">
        <v>0.2</v>
      </c>
      <c r="N20" s="299">
        <f>+M20+N19</f>
        <v>0.75</v>
      </c>
      <c r="O20" s="213"/>
    </row>
    <row r="21" spans="2:18" ht="34.700000000000003" customHeight="1" thickBot="1" x14ac:dyDescent="0.3">
      <c r="B21" s="1424"/>
      <c r="C21" s="2" t="s">
        <v>1105</v>
      </c>
      <c r="D21" s="40" t="s">
        <v>1323</v>
      </c>
      <c r="E21" s="206">
        <f>+E17</f>
        <v>716344</v>
      </c>
      <c r="F21" s="5"/>
      <c r="G21" s="5"/>
      <c r="I21" s="21"/>
      <c r="K21" s="298" t="s">
        <v>1324</v>
      </c>
      <c r="L21" s="306" t="s">
        <v>1325</v>
      </c>
      <c r="M21" s="299">
        <v>0.25</v>
      </c>
      <c r="N21" s="299">
        <f>+M21+N20</f>
        <v>1</v>
      </c>
      <c r="R21" t="s">
        <v>1326</v>
      </c>
    </row>
    <row r="22" spans="2:18" ht="15" customHeight="1" x14ac:dyDescent="0.25">
      <c r="B22" s="1424"/>
      <c r="C22" s="91"/>
      <c r="D22" s="1414"/>
      <c r="E22" s="1415"/>
      <c r="F22" s="1415"/>
      <c r="G22" s="1415"/>
      <c r="H22" s="1415"/>
      <c r="I22" s="1416"/>
      <c r="K22" s="298" t="s">
        <v>1016</v>
      </c>
      <c r="L22" s="298"/>
      <c r="M22" s="299">
        <f>SUM(M16:M21)</f>
        <v>1</v>
      </c>
    </row>
    <row r="23" spans="2:18" ht="15.75" thickBot="1" x14ac:dyDescent="0.3">
      <c r="B23" s="1424"/>
      <c r="C23" s="91"/>
      <c r="D23" s="1438" t="s">
        <v>1327</v>
      </c>
      <c r="E23" s="1439"/>
      <c r="F23" s="1439"/>
      <c r="G23" s="1439"/>
      <c r="H23" s="1439"/>
      <c r="I23" s="1440"/>
      <c r="J23" s="5"/>
      <c r="K23" s="5"/>
      <c r="L23" s="5"/>
    </row>
    <row r="24" spans="2:18" ht="15" customHeight="1" thickBot="1" x14ac:dyDescent="0.3">
      <c r="B24" s="1424"/>
      <c r="C24" s="93"/>
      <c r="D24" s="38" t="s">
        <v>1015</v>
      </c>
      <c r="E24" s="38" t="s">
        <v>909</v>
      </c>
      <c r="F24" s="38" t="s">
        <v>910</v>
      </c>
      <c r="G24" s="38" t="s">
        <v>911</v>
      </c>
      <c r="H24" s="38" t="s">
        <v>912</v>
      </c>
      <c r="I24" s="38" t="s">
        <v>1016</v>
      </c>
      <c r="J24" s="5"/>
      <c r="K24" s="1511" t="s">
        <v>1282</v>
      </c>
      <c r="L24" s="1511" t="s">
        <v>1328</v>
      </c>
      <c r="M24" s="1511" t="s">
        <v>909</v>
      </c>
      <c r="N24" s="1511" t="s">
        <v>910</v>
      </c>
      <c r="O24" s="1511" t="s">
        <v>911</v>
      </c>
      <c r="P24" s="1511" t="s">
        <v>912</v>
      </c>
    </row>
    <row r="25" spans="2:18" ht="25.5" customHeight="1" thickBot="1" x14ac:dyDescent="0.3">
      <c r="B25" s="1424"/>
      <c r="C25" s="93"/>
      <c r="D25" s="40" t="s">
        <v>1329</v>
      </c>
      <c r="E25" s="206"/>
      <c r="F25" s="206"/>
      <c r="G25" s="206"/>
      <c r="H25" s="206"/>
      <c r="I25" s="295">
        <f>Formulas!$I$15</f>
        <v>0</v>
      </c>
      <c r="J25" s="5"/>
      <c r="K25" s="1511"/>
      <c r="L25" s="1511"/>
      <c r="M25" s="1511"/>
      <c r="N25" s="1511"/>
      <c r="O25" s="1511"/>
      <c r="P25" s="1511"/>
    </row>
    <row r="26" spans="2:18" ht="15" customHeight="1" thickBot="1" x14ac:dyDescent="0.3">
      <c r="B26" s="1424"/>
      <c r="C26" s="93"/>
      <c r="D26" s="39" t="s">
        <v>1234</v>
      </c>
      <c r="E26" s="206"/>
      <c r="F26" s="206"/>
      <c r="G26" s="206"/>
      <c r="H26" s="206"/>
      <c r="I26" s="293"/>
      <c r="J26" s="5"/>
      <c r="K26" s="298" t="str">
        <f>+D26</f>
        <v>Sin iniciar</v>
      </c>
      <c r="L26" s="297">
        <v>0.9</v>
      </c>
      <c r="M26" s="294">
        <f>+$L26*E26</f>
        <v>0</v>
      </c>
      <c r="N26" s="294"/>
      <c r="O26" s="294"/>
      <c r="P26" s="294"/>
    </row>
    <row r="27" spans="2:18" ht="15" customHeight="1" thickBot="1" x14ac:dyDescent="0.3">
      <c r="B27" s="1424"/>
      <c r="C27" s="93"/>
      <c r="D27" s="39" t="s">
        <v>1330</v>
      </c>
      <c r="E27" s="206"/>
      <c r="F27" s="206"/>
      <c r="G27" s="206"/>
      <c r="H27" s="206"/>
      <c r="I27" s="293"/>
      <c r="J27" s="5"/>
      <c r="K27" s="298" t="str">
        <f>+D27</f>
        <v>En formulación</v>
      </c>
      <c r="L27" s="297">
        <v>0.1</v>
      </c>
      <c r="M27" s="294">
        <f>+$L27*E27</f>
        <v>0</v>
      </c>
      <c r="N27" s="294"/>
      <c r="O27" s="294"/>
      <c r="P27" s="294"/>
    </row>
    <row r="28" spans="2:18" ht="15" customHeight="1" thickBot="1" x14ac:dyDescent="0.3">
      <c r="B28" s="1424"/>
      <c r="C28" s="93"/>
      <c r="D28" s="39" t="s">
        <v>1331</v>
      </c>
      <c r="E28" s="206"/>
      <c r="F28" s="206"/>
      <c r="G28" s="206"/>
      <c r="H28" s="206"/>
      <c r="I28" s="293"/>
      <c r="J28" s="5"/>
      <c r="K28" s="298" t="str">
        <f>+D28</f>
        <v>En actualización</v>
      </c>
      <c r="L28" s="297"/>
      <c r="M28" s="294">
        <f>+$L28*E28</f>
        <v>0</v>
      </c>
      <c r="N28" s="294"/>
      <c r="O28" s="294"/>
      <c r="P28" s="294"/>
    </row>
    <row r="29" spans="2:18" ht="15.75" thickBot="1" x14ac:dyDescent="0.3">
      <c r="B29" s="1424"/>
      <c r="C29" s="93"/>
      <c r="D29" s="39" t="s">
        <v>1332</v>
      </c>
      <c r="E29" s="206"/>
      <c r="F29" s="206"/>
      <c r="G29" s="206"/>
      <c r="H29" s="206"/>
      <c r="I29" s="293"/>
      <c r="J29" s="5"/>
      <c r="K29" s="298" t="str">
        <f>+D29</f>
        <v>Plan forestal adoptado</v>
      </c>
      <c r="L29" s="297"/>
      <c r="M29" s="294">
        <f>+$L29*E29</f>
        <v>0</v>
      </c>
      <c r="N29" s="294"/>
      <c r="O29" s="294"/>
      <c r="P29" s="294"/>
    </row>
    <row r="30" spans="2:18" ht="15" customHeight="1" thickBot="1" x14ac:dyDescent="0.3">
      <c r="B30" s="1424"/>
      <c r="C30" s="93"/>
      <c r="D30" s="39" t="s">
        <v>1016</v>
      </c>
      <c r="E30" s="138">
        <f>Formulas!D15</f>
        <v>0</v>
      </c>
      <c r="F30" s="138">
        <f>Formulas!E15</f>
        <v>0</v>
      </c>
      <c r="G30" s="138">
        <f>Formulas!F15</f>
        <v>0</v>
      </c>
      <c r="H30" s="138">
        <f>Formulas!G15</f>
        <v>0</v>
      </c>
      <c r="I30" s="293"/>
      <c r="J30" s="5"/>
      <c r="K30" s="298"/>
      <c r="L30" s="298" t="s">
        <v>1333</v>
      </c>
      <c r="M30" s="294">
        <f>SUM(M26:M29)</f>
        <v>0</v>
      </c>
      <c r="N30" s="294"/>
      <c r="O30" s="294"/>
      <c r="P30" s="294"/>
    </row>
    <row r="31" spans="2:18" ht="14.45" customHeight="1" x14ac:dyDescent="0.25">
      <c r="B31" s="1424"/>
      <c r="C31" s="91"/>
      <c r="D31" s="1408" t="s">
        <v>1334</v>
      </c>
      <c r="E31" s="1409"/>
      <c r="F31" s="1409"/>
      <c r="G31" s="1409"/>
      <c r="H31" s="1409"/>
      <c r="I31" s="1410"/>
      <c r="J31" s="5"/>
      <c r="K31" s="298"/>
      <c r="L31" s="298" t="s">
        <v>1335</v>
      </c>
      <c r="M31" s="296" t="e">
        <f>+M30/$I$25</f>
        <v>#DIV/0!</v>
      </c>
      <c r="N31" s="296"/>
      <c r="O31" s="296"/>
      <c r="P31" s="296"/>
    </row>
    <row r="32" spans="2:18" ht="24" customHeight="1" x14ac:dyDescent="0.25">
      <c r="B32" s="1424"/>
      <c r="C32" s="91"/>
      <c r="D32" s="1414" t="s">
        <v>1336</v>
      </c>
      <c r="E32" s="1415"/>
      <c r="F32" s="1415"/>
      <c r="G32" s="1415"/>
      <c r="H32" s="1415"/>
      <c r="I32" s="1416"/>
      <c r="J32" s="5"/>
      <c r="K32" s="298"/>
      <c r="L32" s="298" t="s">
        <v>1337</v>
      </c>
      <c r="M32" s="296" t="e">
        <f>+M45</f>
        <v>#DIV/0!</v>
      </c>
      <c r="N32" s="296"/>
      <c r="O32" s="296"/>
      <c r="P32" s="296"/>
    </row>
    <row r="33" spans="2:16" ht="15" customHeight="1" thickBot="1" x14ac:dyDescent="0.3">
      <c r="B33" s="1424"/>
      <c r="C33" s="91"/>
      <c r="D33" s="1411" t="s">
        <v>1338</v>
      </c>
      <c r="E33" s="1412"/>
      <c r="F33" s="1412"/>
      <c r="G33" s="1412"/>
      <c r="H33" s="1412"/>
      <c r="I33" s="1413"/>
      <c r="J33" s="5"/>
      <c r="K33" s="298"/>
      <c r="L33" s="298" t="s">
        <v>1339</v>
      </c>
      <c r="M33" s="294">
        <f>+M46</f>
        <v>0</v>
      </c>
      <c r="N33" s="294"/>
      <c r="O33" s="294"/>
      <c r="P33" s="294"/>
    </row>
    <row r="34" spans="2:16" ht="48.75" thickBot="1" x14ac:dyDescent="0.3">
      <c r="B34" s="1424"/>
      <c r="C34" s="93"/>
      <c r="D34" s="43" t="s">
        <v>1340</v>
      </c>
      <c r="E34" s="43" t="s">
        <v>1341</v>
      </c>
      <c r="F34" s="43" t="s">
        <v>1342</v>
      </c>
      <c r="G34" s="43" t="s">
        <v>1343</v>
      </c>
      <c r="H34" s="43" t="s">
        <v>1344</v>
      </c>
      <c r="I34" s="21"/>
      <c r="J34" s="5"/>
      <c r="K34" s="298"/>
      <c r="L34" s="298" t="s">
        <v>100</v>
      </c>
      <c r="M34" s="296" t="e">
        <f>+M30/M33</f>
        <v>#DIV/0!</v>
      </c>
      <c r="N34" s="296"/>
      <c r="O34" s="296"/>
      <c r="P34" s="296"/>
    </row>
    <row r="35" spans="2:16" ht="15" customHeight="1" thickBot="1" x14ac:dyDescent="0.3">
      <c r="B35" s="1424"/>
      <c r="C35" s="93"/>
      <c r="D35" s="30"/>
      <c r="E35" s="30">
        <v>21</v>
      </c>
      <c r="F35" s="206">
        <v>716344</v>
      </c>
      <c r="G35" s="30"/>
      <c r="H35" s="30" t="s">
        <v>2112</v>
      </c>
      <c r="I35" s="21"/>
      <c r="J35" s="5"/>
      <c r="K35" s="5"/>
      <c r="L35" s="5"/>
      <c r="M35" s="5"/>
      <c r="N35" s="5"/>
      <c r="O35" s="5"/>
      <c r="P35" s="5"/>
    </row>
    <row r="36" spans="2:16" ht="15" customHeight="1" thickBot="1" x14ac:dyDescent="0.3">
      <c r="B36" s="1424"/>
      <c r="C36" s="93"/>
      <c r="D36" s="30"/>
      <c r="E36" s="30"/>
      <c r="F36" s="206"/>
      <c r="G36" s="30"/>
      <c r="H36" s="30"/>
      <c r="I36" s="21"/>
      <c r="J36" s="5"/>
      <c r="K36" s="5"/>
      <c r="L36" s="5"/>
    </row>
    <row r="37" spans="2:16" ht="15" customHeight="1" thickBot="1" x14ac:dyDescent="0.3">
      <c r="B37" s="1424"/>
      <c r="C37" s="93"/>
      <c r="D37" s="30"/>
      <c r="E37" s="30"/>
      <c r="F37" s="206"/>
      <c r="G37" s="30"/>
      <c r="H37" s="30"/>
      <c r="I37" s="21"/>
      <c r="J37" s="5"/>
      <c r="K37" s="5"/>
      <c r="L37" t="s">
        <v>1345</v>
      </c>
    </row>
    <row r="38" spans="2:16" ht="15" customHeight="1" thickBot="1" x14ac:dyDescent="0.3">
      <c r="B38" s="1424"/>
      <c r="C38" s="93"/>
      <c r="D38" s="30"/>
      <c r="E38" s="30"/>
      <c r="F38" s="206"/>
      <c r="G38" s="30"/>
      <c r="H38" s="30"/>
      <c r="I38" s="21"/>
      <c r="J38" s="5"/>
      <c r="K38" s="5"/>
      <c r="L38" s="5"/>
    </row>
    <row r="39" spans="2:16" ht="15" customHeight="1" thickBot="1" x14ac:dyDescent="0.3">
      <c r="B39" s="1424"/>
      <c r="C39" s="93"/>
      <c r="D39" s="30"/>
      <c r="E39" s="30"/>
      <c r="F39" s="206"/>
      <c r="G39" s="30"/>
      <c r="H39" s="30"/>
      <c r="I39" s="21"/>
      <c r="J39" s="5"/>
      <c r="K39" s="1511" t="s">
        <v>1346</v>
      </c>
      <c r="L39" s="1511" t="s">
        <v>1347</v>
      </c>
      <c r="M39" s="1511" t="s">
        <v>1348</v>
      </c>
    </row>
    <row r="40" spans="2:16" ht="15" customHeight="1" thickBot="1" x14ac:dyDescent="0.3">
      <c r="B40" s="1424"/>
      <c r="C40" s="93"/>
      <c r="D40" s="30"/>
      <c r="E40" s="30"/>
      <c r="F40" s="206"/>
      <c r="G40" s="30"/>
      <c r="H40" s="30"/>
      <c r="I40" s="21"/>
      <c r="J40" s="5"/>
      <c r="K40" s="1511"/>
      <c r="L40" s="1511"/>
      <c r="M40" s="1511"/>
    </row>
    <row r="41" spans="2:16" ht="15.75" thickBot="1" x14ac:dyDescent="0.3">
      <c r="B41" s="1424"/>
      <c r="C41" s="93"/>
      <c r="D41" s="30"/>
      <c r="E41" s="30"/>
      <c r="F41" s="206"/>
      <c r="G41" s="30"/>
      <c r="H41" s="30"/>
      <c r="I41" s="21"/>
      <c r="J41" s="5"/>
      <c r="K41" s="298" t="str">
        <f>+K26</f>
        <v>Sin iniciar</v>
      </c>
      <c r="L41" s="331"/>
      <c r="M41" s="296">
        <v>0</v>
      </c>
    </row>
    <row r="42" spans="2:16" ht="15.75" thickBot="1" x14ac:dyDescent="0.3">
      <c r="B42" s="1424"/>
      <c r="C42" s="93"/>
      <c r="D42" s="30"/>
      <c r="E42" s="30"/>
      <c r="F42" s="206"/>
      <c r="G42" s="30"/>
      <c r="H42" s="30"/>
      <c r="I42" s="21"/>
      <c r="J42" s="5"/>
      <c r="K42" s="298" t="str">
        <f>+K27</f>
        <v>En formulación</v>
      </c>
      <c r="L42" s="331"/>
      <c r="M42" s="300"/>
    </row>
    <row r="43" spans="2:16" ht="24" customHeight="1" thickBot="1" x14ac:dyDescent="0.3">
      <c r="B43" s="1425"/>
      <c r="C43" s="92"/>
      <c r="D43" s="1438" t="s">
        <v>1349</v>
      </c>
      <c r="E43" s="1439"/>
      <c r="F43" s="1439"/>
      <c r="G43" s="1439"/>
      <c r="H43" s="1439"/>
      <c r="I43" s="1440"/>
      <c r="J43" s="5"/>
      <c r="K43" s="298" t="str">
        <f>+K28</f>
        <v>En actualización</v>
      </c>
      <c r="L43" s="331"/>
      <c r="M43" s="300"/>
    </row>
    <row r="44" spans="2:16" ht="24" customHeight="1" thickBot="1" x14ac:dyDescent="0.3">
      <c r="B44" s="46" t="s">
        <v>924</v>
      </c>
      <c r="C44" s="92"/>
      <c r="D44" s="1435" t="s">
        <v>1350</v>
      </c>
      <c r="E44" s="1436"/>
      <c r="F44" s="1436"/>
      <c r="G44" s="1436"/>
      <c r="H44" s="1436"/>
      <c r="I44" s="1437"/>
      <c r="J44" s="5"/>
      <c r="K44" s="298" t="str">
        <f>+K29</f>
        <v>Plan forestal adoptado</v>
      </c>
      <c r="L44" s="331"/>
      <c r="M44" s="300"/>
    </row>
    <row r="45" spans="2:16" ht="24.75" thickBot="1" x14ac:dyDescent="0.3">
      <c r="B45" s="46" t="s">
        <v>926</v>
      </c>
      <c r="C45" s="92"/>
      <c r="D45" s="1435" t="s">
        <v>1202</v>
      </c>
      <c r="E45" s="1436"/>
      <c r="F45" s="1436"/>
      <c r="G45" s="1436"/>
      <c r="H45" s="1436"/>
      <c r="I45" s="1437"/>
      <c r="J45" s="5"/>
      <c r="K45" s="298" t="s">
        <v>1016</v>
      </c>
      <c r="L45" s="294">
        <f>SUM(L41:L44)</f>
        <v>0</v>
      </c>
      <c r="M45" s="296" t="e">
        <f>+M46/L45</f>
        <v>#DIV/0!</v>
      </c>
    </row>
    <row r="46" spans="2:16" ht="15" customHeight="1" thickBot="1" x14ac:dyDescent="0.3">
      <c r="B46" s="1"/>
      <c r="C46" s="75"/>
      <c r="D46" s="5"/>
      <c r="E46" s="5"/>
      <c r="F46" s="5"/>
      <c r="G46" s="5"/>
      <c r="H46" s="5"/>
      <c r="I46" s="5"/>
      <c r="J46" s="5"/>
      <c r="K46" s="298"/>
      <c r="L46" s="298" t="s">
        <v>1351</v>
      </c>
      <c r="M46" s="294">
        <f>+L41*M41+L42*M42+L43*M43+L44*M44</f>
        <v>0</v>
      </c>
    </row>
    <row r="47" spans="2:16" ht="24" customHeight="1" thickBot="1" x14ac:dyDescent="0.3">
      <c r="B47" s="1426" t="s">
        <v>928</v>
      </c>
      <c r="C47" s="1427"/>
      <c r="D47" s="1427"/>
      <c r="E47" s="1428"/>
      <c r="F47" s="5"/>
      <c r="G47" s="5"/>
      <c r="H47" s="5"/>
      <c r="I47" s="5"/>
      <c r="J47" s="5"/>
      <c r="K47" s="5"/>
      <c r="L47" s="5"/>
      <c r="M47" s="5"/>
      <c r="N47" s="5"/>
    </row>
    <row r="48" spans="2:16" ht="15" customHeight="1" thickBot="1" x14ac:dyDescent="0.3">
      <c r="B48" s="1423">
        <v>1</v>
      </c>
      <c r="C48" s="93"/>
      <c r="D48" s="47" t="s">
        <v>929</v>
      </c>
      <c r="E48" s="30" t="s">
        <v>2093</v>
      </c>
      <c r="F48" s="5"/>
      <c r="G48" s="5"/>
      <c r="H48" s="5"/>
      <c r="I48" s="5"/>
      <c r="J48" s="5"/>
      <c r="K48" s="5"/>
      <c r="L48" s="5"/>
      <c r="M48" s="5"/>
      <c r="N48" s="5"/>
    </row>
    <row r="49" spans="2:14" ht="15" customHeight="1" thickBot="1" x14ac:dyDescent="0.3">
      <c r="B49" s="1424"/>
      <c r="C49" s="93"/>
      <c r="D49" s="40" t="s">
        <v>7</v>
      </c>
      <c r="E49" s="30" t="s">
        <v>2098</v>
      </c>
      <c r="F49" s="5"/>
      <c r="G49" s="5"/>
      <c r="H49" s="5"/>
      <c r="I49" s="5"/>
      <c r="J49" s="5"/>
      <c r="K49" s="5"/>
      <c r="L49" s="5"/>
      <c r="M49" s="5"/>
      <c r="N49" s="5"/>
    </row>
    <row r="50" spans="2:14" ht="15" customHeight="1" thickBot="1" x14ac:dyDescent="0.3">
      <c r="B50" s="1424"/>
      <c r="C50" s="93"/>
      <c r="D50" s="40" t="s">
        <v>930</v>
      </c>
      <c r="E50" s="30" t="s">
        <v>2113</v>
      </c>
      <c r="F50" s="5"/>
      <c r="G50" s="5"/>
      <c r="H50" s="5"/>
      <c r="I50" s="5"/>
      <c r="J50" s="5"/>
      <c r="K50" s="5"/>
      <c r="L50" s="5"/>
      <c r="M50" s="5"/>
      <c r="N50" s="5"/>
    </row>
    <row r="51" spans="2:14" ht="15" customHeight="1" thickBot="1" x14ac:dyDescent="0.3">
      <c r="B51" s="1424"/>
      <c r="C51" s="93"/>
      <c r="D51" s="40" t="s">
        <v>9</v>
      </c>
      <c r="E51" s="30" t="s">
        <v>2095</v>
      </c>
      <c r="F51" s="5"/>
      <c r="G51" s="5"/>
      <c r="H51" s="5"/>
      <c r="I51" s="5"/>
      <c r="J51" s="5"/>
      <c r="K51" s="5"/>
      <c r="L51" s="5"/>
      <c r="M51" s="5"/>
      <c r="N51" s="5"/>
    </row>
    <row r="52" spans="2:14" ht="15" customHeight="1" thickBot="1" x14ac:dyDescent="0.3">
      <c r="B52" s="1424"/>
      <c r="C52" s="93"/>
      <c r="D52" s="40" t="s">
        <v>11</v>
      </c>
      <c r="E52" s="30" t="s">
        <v>2114</v>
      </c>
      <c r="F52" s="5"/>
      <c r="G52" s="5"/>
      <c r="H52" s="5"/>
      <c r="I52" s="5"/>
      <c r="J52" s="5"/>
      <c r="K52" s="5"/>
      <c r="L52" s="5"/>
    </row>
    <row r="53" spans="2:14" ht="15" customHeight="1" thickBot="1" x14ac:dyDescent="0.3">
      <c r="B53" s="1424"/>
      <c r="C53" s="93"/>
      <c r="D53" s="40" t="s">
        <v>13</v>
      </c>
      <c r="E53" s="30">
        <v>6695278</v>
      </c>
      <c r="F53" s="5"/>
      <c r="G53" s="5"/>
      <c r="H53" s="5"/>
      <c r="I53" s="5"/>
      <c r="J53" s="5"/>
      <c r="K53" s="5"/>
      <c r="L53" s="5"/>
    </row>
    <row r="54" spans="2:14" ht="15" customHeight="1" thickBot="1" x14ac:dyDescent="0.3">
      <c r="B54" s="1425"/>
      <c r="C54" s="2"/>
      <c r="D54" s="40" t="s">
        <v>931</v>
      </c>
      <c r="E54" s="30" t="s">
        <v>2097</v>
      </c>
      <c r="F54" s="5"/>
      <c r="G54" s="5"/>
      <c r="H54" s="5"/>
      <c r="I54" s="5"/>
      <c r="J54" s="5"/>
      <c r="K54" s="5"/>
      <c r="L54" s="5"/>
    </row>
    <row r="55" spans="2:14" ht="15" customHeight="1" thickBot="1" x14ac:dyDescent="0.3">
      <c r="B55" s="1"/>
      <c r="C55" s="75"/>
      <c r="D55" s="5"/>
      <c r="E55" s="5"/>
      <c r="F55" s="5"/>
      <c r="G55" s="5"/>
      <c r="H55" s="5"/>
      <c r="I55" s="5"/>
      <c r="J55" s="5"/>
      <c r="K55" s="5"/>
      <c r="L55" s="5"/>
    </row>
    <row r="56" spans="2:14" ht="15" customHeight="1" thickBot="1" x14ac:dyDescent="0.3">
      <c r="B56" s="1426" t="s">
        <v>932</v>
      </c>
      <c r="C56" s="1427"/>
      <c r="D56" s="1427"/>
      <c r="E56" s="1428"/>
      <c r="F56" s="5"/>
      <c r="G56" s="5"/>
      <c r="H56" s="5"/>
      <c r="I56" s="5"/>
      <c r="J56" s="5"/>
      <c r="K56" s="5"/>
      <c r="L56" s="5"/>
    </row>
    <row r="57" spans="2:14" ht="15" customHeight="1" thickBot="1" x14ac:dyDescent="0.3">
      <c r="B57" s="1423">
        <v>1</v>
      </c>
      <c r="C57" s="93"/>
      <c r="D57" s="47" t="s">
        <v>929</v>
      </c>
      <c r="E57" s="217" t="s">
        <v>933</v>
      </c>
      <c r="F57" s="5"/>
      <c r="G57" s="5"/>
      <c r="H57" s="5"/>
      <c r="I57" s="5"/>
      <c r="J57" s="5"/>
      <c r="K57" s="5"/>
      <c r="L57" s="5"/>
    </row>
    <row r="58" spans="2:14" ht="15" customHeight="1" thickBot="1" x14ac:dyDescent="0.3">
      <c r="B58" s="1424"/>
      <c r="C58" s="93"/>
      <c r="D58" s="40" t="s">
        <v>7</v>
      </c>
      <c r="E58" s="217" t="s">
        <v>1025</v>
      </c>
      <c r="F58" s="5"/>
      <c r="G58" s="5"/>
      <c r="H58" s="5"/>
      <c r="I58" s="5"/>
      <c r="J58" s="5"/>
      <c r="K58" s="5"/>
      <c r="L58" s="5"/>
    </row>
    <row r="59" spans="2:14" ht="15" customHeight="1" thickBot="1" x14ac:dyDescent="0.3">
      <c r="B59" s="1424"/>
      <c r="C59" s="93"/>
      <c r="D59" s="40" t="s">
        <v>930</v>
      </c>
      <c r="E59" s="237"/>
      <c r="F59" s="5"/>
      <c r="G59" s="5"/>
      <c r="H59" s="5"/>
      <c r="I59" s="5"/>
      <c r="J59" s="5"/>
      <c r="K59" s="5"/>
      <c r="L59" s="5"/>
    </row>
    <row r="60" spans="2:14" ht="15" customHeight="1" thickBot="1" x14ac:dyDescent="0.3">
      <c r="B60" s="1424"/>
      <c r="C60" s="93"/>
      <c r="D60" s="40" t="s">
        <v>9</v>
      </c>
      <c r="E60" s="237"/>
      <c r="F60" s="5"/>
      <c r="G60" s="5"/>
      <c r="H60" s="5"/>
      <c r="I60" s="5"/>
      <c r="J60" s="5"/>
      <c r="K60" s="5"/>
      <c r="L60" s="5"/>
    </row>
    <row r="61" spans="2:14" ht="15.75" thickBot="1" x14ac:dyDescent="0.3">
      <c r="B61" s="1424"/>
      <c r="C61" s="93"/>
      <c r="D61" s="40" t="s">
        <v>11</v>
      </c>
      <c r="E61" s="237"/>
      <c r="F61" s="5"/>
      <c r="G61" s="5"/>
      <c r="H61" s="5"/>
      <c r="I61" s="5"/>
      <c r="J61" s="5"/>
      <c r="K61" s="5"/>
      <c r="L61" s="5"/>
    </row>
    <row r="62" spans="2:14" ht="15.75" thickBot="1" x14ac:dyDescent="0.3">
      <c r="B62" s="1424"/>
      <c r="C62" s="93"/>
      <c r="D62" s="40" t="s">
        <v>13</v>
      </c>
      <c r="E62" s="237"/>
      <c r="F62" s="5"/>
      <c r="G62" s="5"/>
      <c r="H62" s="5"/>
      <c r="I62" s="5"/>
      <c r="J62" s="5"/>
      <c r="K62" s="5"/>
      <c r="L62" s="5"/>
    </row>
    <row r="63" spans="2:14" ht="15" customHeight="1" thickBot="1" x14ac:dyDescent="0.3">
      <c r="B63" s="1425"/>
      <c r="C63" s="2"/>
      <c r="D63" s="40" t="s">
        <v>931</v>
      </c>
      <c r="E63" s="237"/>
      <c r="F63" s="5"/>
      <c r="G63" s="5"/>
      <c r="H63" s="5"/>
      <c r="I63" s="5"/>
      <c r="J63" s="5"/>
      <c r="K63" s="5"/>
      <c r="L63" s="5"/>
    </row>
    <row r="64" spans="2:14" ht="15" customHeight="1" thickBot="1" x14ac:dyDescent="0.3">
      <c r="B64" s="129"/>
      <c r="C64" s="100"/>
      <c r="D64" s="129"/>
      <c r="E64" s="5"/>
      <c r="F64" s="5"/>
      <c r="G64" s="5"/>
      <c r="H64" s="5"/>
      <c r="I64" s="5"/>
      <c r="J64" s="5"/>
      <c r="K64" s="5"/>
      <c r="L64" s="5"/>
    </row>
    <row r="65" spans="2:12" ht="15" customHeight="1" x14ac:dyDescent="0.25">
      <c r="B65" s="128" t="s">
        <v>1291</v>
      </c>
      <c r="C65" s="95"/>
      <c r="D65" s="5"/>
      <c r="E65" s="5"/>
      <c r="F65" s="5"/>
      <c r="G65" s="5"/>
      <c r="H65" s="5"/>
      <c r="I65" s="5"/>
      <c r="J65" s="5"/>
      <c r="K65" s="5"/>
      <c r="L65" s="5"/>
    </row>
    <row r="66" spans="2:12" x14ac:dyDescent="0.25">
      <c r="B66" s="1465"/>
      <c r="C66" s="1466"/>
      <c r="D66" s="1467"/>
      <c r="E66" s="5"/>
      <c r="F66" s="5"/>
      <c r="G66" s="5"/>
      <c r="H66" s="5"/>
      <c r="I66" s="5"/>
      <c r="J66" s="5"/>
      <c r="K66" s="5"/>
      <c r="L66" s="5"/>
    </row>
    <row r="67" spans="2:12" x14ac:dyDescent="0.25">
      <c r="B67" s="1468"/>
      <c r="C67" s="1469"/>
      <c r="D67" s="1470"/>
      <c r="E67" s="5"/>
      <c r="F67" s="5"/>
      <c r="G67" s="5"/>
      <c r="H67" s="5"/>
      <c r="I67" s="5"/>
      <c r="J67" s="5"/>
      <c r="K67" s="5"/>
      <c r="L67" s="5"/>
    </row>
    <row r="68" spans="2:12" ht="15.75" thickBot="1" x14ac:dyDescent="0.3">
      <c r="B68" s="129"/>
      <c r="C68" s="100"/>
      <c r="D68" s="129"/>
      <c r="E68" s="5"/>
      <c r="F68" s="5"/>
      <c r="G68" s="5"/>
      <c r="H68" s="5"/>
      <c r="I68" s="5"/>
      <c r="J68" s="5"/>
      <c r="K68" s="5"/>
      <c r="L68" s="5"/>
    </row>
    <row r="69" spans="2:12" ht="15.75" thickBot="1" x14ac:dyDescent="0.3">
      <c r="B69" s="1426" t="s">
        <v>935</v>
      </c>
      <c r="C69" s="1427"/>
      <c r="D69" s="1427"/>
      <c r="E69" s="1427"/>
      <c r="F69" s="1428"/>
      <c r="G69" s="5"/>
      <c r="H69" s="5"/>
      <c r="I69" s="5"/>
      <c r="J69" s="5"/>
      <c r="K69" s="5"/>
      <c r="L69" s="5"/>
    </row>
    <row r="70" spans="2:12" ht="24.75" thickBot="1" x14ac:dyDescent="0.3">
      <c r="B70" s="46" t="s">
        <v>936</v>
      </c>
      <c r="C70" s="40" t="s">
        <v>937</v>
      </c>
      <c r="D70" s="40" t="s">
        <v>938</v>
      </c>
      <c r="E70" s="40" t="s">
        <v>939</v>
      </c>
      <c r="F70" s="5"/>
      <c r="G70" s="5"/>
      <c r="H70" s="5"/>
      <c r="I70" s="5"/>
      <c r="J70" s="5"/>
      <c r="K70" s="5"/>
      <c r="L70" s="5"/>
    </row>
    <row r="71" spans="2:12" ht="72.75" thickBot="1" x14ac:dyDescent="0.3">
      <c r="B71" s="48">
        <v>42401</v>
      </c>
      <c r="C71" s="40">
        <v>0.01</v>
      </c>
      <c r="D71" s="49" t="s">
        <v>1352</v>
      </c>
      <c r="E71" s="40"/>
      <c r="F71" s="5"/>
      <c r="G71" s="5"/>
      <c r="H71" s="5"/>
      <c r="I71" s="5"/>
      <c r="J71" s="5"/>
      <c r="K71" s="5"/>
    </row>
    <row r="72" spans="2:12" x14ac:dyDescent="0.25">
      <c r="B72" s="1"/>
      <c r="C72" s="75"/>
      <c r="D72" s="5"/>
      <c r="E72" s="5"/>
      <c r="F72" s="5"/>
      <c r="G72" s="5"/>
      <c r="H72" s="5"/>
      <c r="I72" s="5"/>
      <c r="J72" s="5"/>
      <c r="K72" s="5"/>
    </row>
    <row r="73" spans="2:12" ht="15.75" thickBot="1" x14ac:dyDescent="0.3">
      <c r="B73" s="5"/>
      <c r="D73" s="5"/>
      <c r="E73" s="5"/>
      <c r="F73" s="5"/>
      <c r="G73" s="5"/>
      <c r="H73" s="5"/>
      <c r="I73" s="5"/>
      <c r="J73" s="5"/>
      <c r="K73" s="5"/>
      <c r="L73" s="5"/>
    </row>
    <row r="74" spans="2:12" ht="15.75" thickBot="1" x14ac:dyDescent="0.3">
      <c r="B74" s="1426" t="s">
        <v>941</v>
      </c>
      <c r="C74" s="1427"/>
      <c r="D74" s="1428"/>
      <c r="E74" s="5"/>
      <c r="F74" s="5"/>
      <c r="G74" s="5"/>
      <c r="H74" s="5"/>
      <c r="I74" s="5"/>
      <c r="J74" s="5"/>
      <c r="K74" s="5"/>
      <c r="L74" s="5"/>
    </row>
    <row r="75" spans="2:12" ht="60.75" thickBot="1" x14ac:dyDescent="0.3">
      <c r="B75" s="46" t="s">
        <v>942</v>
      </c>
      <c r="C75" s="2"/>
      <c r="D75" s="40" t="s">
        <v>1353</v>
      </c>
      <c r="E75" s="5"/>
      <c r="F75" s="5"/>
      <c r="G75" s="5"/>
      <c r="H75" s="5"/>
      <c r="I75" s="5"/>
      <c r="J75" s="5"/>
      <c r="K75" s="5"/>
      <c r="L75" s="5"/>
    </row>
    <row r="76" spans="2:12" x14ac:dyDescent="0.25">
      <c r="B76" s="1423" t="s">
        <v>944</v>
      </c>
      <c r="C76" s="93"/>
      <c r="D76" s="52" t="s">
        <v>945</v>
      </c>
      <c r="E76" s="5"/>
      <c r="F76" s="5"/>
      <c r="G76" s="5"/>
      <c r="H76" s="5"/>
      <c r="I76" s="5"/>
      <c r="J76" s="5"/>
      <c r="K76" s="5"/>
      <c r="L76" s="5"/>
    </row>
    <row r="77" spans="2:12" ht="132" x14ac:dyDescent="0.25">
      <c r="B77" s="1424"/>
      <c r="C77" s="93"/>
      <c r="D77" s="45" t="s">
        <v>1354</v>
      </c>
      <c r="E77" s="5"/>
      <c r="F77" s="5"/>
      <c r="G77" s="5"/>
      <c r="H77" s="5"/>
      <c r="I77" s="5"/>
      <c r="J77" s="5"/>
      <c r="K77" s="5"/>
      <c r="L77" s="5"/>
    </row>
    <row r="78" spans="2:12" x14ac:dyDescent="0.25">
      <c r="B78" s="1424"/>
      <c r="C78" s="93"/>
      <c r="D78" s="52" t="s">
        <v>948</v>
      </c>
      <c r="E78" s="5"/>
      <c r="F78" s="5"/>
      <c r="G78" s="5"/>
      <c r="H78" s="5"/>
      <c r="I78" s="5"/>
      <c r="J78" s="5"/>
      <c r="K78" s="5"/>
      <c r="L78" s="5"/>
    </row>
    <row r="79" spans="2:12" x14ac:dyDescent="0.25">
      <c r="B79" s="1424"/>
      <c r="C79" s="93"/>
      <c r="D79" s="60" t="s">
        <v>1355</v>
      </c>
      <c r="E79" s="5"/>
      <c r="F79" s="5"/>
      <c r="G79" s="5"/>
      <c r="H79" s="5"/>
      <c r="I79" s="5"/>
      <c r="J79" s="5"/>
      <c r="K79" s="5"/>
      <c r="L79" s="5"/>
    </row>
    <row r="80" spans="2:12" x14ac:dyDescent="0.25">
      <c r="B80" s="1424"/>
      <c r="C80" s="93"/>
      <c r="D80" s="60" t="s">
        <v>1356</v>
      </c>
      <c r="E80" s="5"/>
      <c r="F80" s="5"/>
      <c r="G80" s="5"/>
      <c r="H80" s="5"/>
      <c r="I80" s="5"/>
      <c r="J80" s="5"/>
      <c r="K80" s="5"/>
      <c r="L80" s="5"/>
    </row>
    <row r="81" spans="2:12" x14ac:dyDescent="0.25">
      <c r="B81" s="1424"/>
      <c r="C81" s="93"/>
      <c r="D81" s="60" t="s">
        <v>1357</v>
      </c>
      <c r="E81" s="5"/>
      <c r="F81" s="5"/>
      <c r="G81" s="5"/>
      <c r="H81" s="5"/>
      <c r="I81" s="5"/>
      <c r="J81" s="5"/>
      <c r="K81" s="5"/>
      <c r="L81" s="5"/>
    </row>
    <row r="82" spans="2:12" x14ac:dyDescent="0.25">
      <c r="B82" s="1424"/>
      <c r="C82" s="93"/>
      <c r="D82" s="60" t="s">
        <v>1358</v>
      </c>
      <c r="E82" s="5"/>
      <c r="F82" s="5"/>
      <c r="G82" s="5"/>
      <c r="H82" s="5"/>
      <c r="I82" s="5"/>
      <c r="J82" s="5"/>
      <c r="K82" s="5"/>
      <c r="L82" s="5"/>
    </row>
    <row r="83" spans="2:12" x14ac:dyDescent="0.25">
      <c r="B83" s="1424"/>
      <c r="C83" s="93"/>
      <c r="D83" s="52" t="s">
        <v>1172</v>
      </c>
      <c r="E83" s="5"/>
      <c r="F83" s="5"/>
      <c r="G83" s="5"/>
      <c r="H83" s="5"/>
      <c r="I83" s="5"/>
      <c r="J83" s="5"/>
      <c r="K83" s="5"/>
      <c r="L83" s="5"/>
    </row>
    <row r="84" spans="2:12" ht="36.75" thickBot="1" x14ac:dyDescent="0.3">
      <c r="B84" s="1425"/>
      <c r="C84" s="2"/>
      <c r="D84" s="40" t="s">
        <v>1269</v>
      </c>
      <c r="E84" s="5"/>
      <c r="F84" s="5"/>
      <c r="G84" s="5"/>
      <c r="H84" s="5"/>
      <c r="I84" s="5"/>
      <c r="J84" s="5"/>
      <c r="K84" s="5"/>
      <c r="L84" s="5"/>
    </row>
    <row r="85" spans="2:12" x14ac:dyDescent="0.25">
      <c r="B85" s="1423" t="s">
        <v>957</v>
      </c>
      <c r="C85" s="98"/>
      <c r="D85" s="1423"/>
      <c r="E85" s="5"/>
      <c r="F85" s="5"/>
      <c r="G85" s="5"/>
      <c r="H85" s="5"/>
      <c r="I85" s="5"/>
      <c r="J85" s="5"/>
      <c r="K85" s="5"/>
      <c r="L85" s="5"/>
    </row>
    <row r="86" spans="2:12" ht="15.75" thickBot="1" x14ac:dyDescent="0.3">
      <c r="B86" s="1425"/>
      <c r="C86" s="99"/>
      <c r="D86" s="1425"/>
      <c r="E86" s="5"/>
      <c r="F86" s="5"/>
      <c r="G86" s="5"/>
      <c r="H86" s="5"/>
      <c r="I86" s="5"/>
      <c r="J86" s="5"/>
      <c r="K86" s="5"/>
      <c r="L86" s="5"/>
    </row>
    <row r="87" spans="2:12" ht="132" x14ac:dyDescent="0.25">
      <c r="B87" s="1423" t="s">
        <v>958</v>
      </c>
      <c r="C87" s="93"/>
      <c r="D87" s="45" t="s">
        <v>1359</v>
      </c>
      <c r="E87" s="5"/>
      <c r="F87" s="5"/>
      <c r="G87" s="5"/>
      <c r="H87" s="5"/>
      <c r="I87" s="5"/>
      <c r="J87" s="5"/>
      <c r="K87" s="5"/>
      <c r="L87" s="5"/>
    </row>
    <row r="88" spans="2:12" ht="120.75" thickBot="1" x14ac:dyDescent="0.3">
      <c r="B88" s="1425"/>
      <c r="C88" s="2"/>
      <c r="D88" s="40" t="s">
        <v>1360</v>
      </c>
      <c r="E88" s="5"/>
      <c r="F88" s="5"/>
      <c r="G88" s="5"/>
      <c r="H88" s="5"/>
      <c r="I88" s="5"/>
      <c r="J88" s="5"/>
      <c r="K88" s="5"/>
      <c r="L88" s="5"/>
    </row>
    <row r="89" spans="2:12" ht="24" x14ac:dyDescent="0.25">
      <c r="B89" s="1423" t="s">
        <v>975</v>
      </c>
      <c r="C89" s="93"/>
      <c r="D89" s="52" t="s">
        <v>100</v>
      </c>
      <c r="E89" s="5"/>
      <c r="F89" s="5"/>
      <c r="G89" s="5"/>
      <c r="H89" s="5"/>
      <c r="I89" s="5"/>
      <c r="J89" s="5"/>
      <c r="K89" s="5"/>
      <c r="L89" s="5"/>
    </row>
    <row r="90" spans="2:12" x14ac:dyDescent="0.25">
      <c r="B90" s="1424"/>
      <c r="C90" s="93"/>
      <c r="D90" s="16"/>
      <c r="E90" s="5"/>
      <c r="F90" s="5"/>
      <c r="G90" s="5"/>
      <c r="H90" s="5"/>
      <c r="I90" s="5"/>
      <c r="J90" s="5"/>
      <c r="K90" s="5"/>
      <c r="L90" s="5"/>
    </row>
    <row r="91" spans="2:12" x14ac:dyDescent="0.25">
      <c r="B91" s="1424"/>
      <c r="C91" s="93"/>
      <c r="D91" s="45" t="s">
        <v>976</v>
      </c>
      <c r="E91" s="5"/>
      <c r="F91" s="5"/>
      <c r="G91" s="5"/>
      <c r="H91" s="5"/>
      <c r="I91" s="5"/>
      <c r="J91" s="5"/>
      <c r="K91" s="5"/>
      <c r="L91" s="5"/>
    </row>
    <row r="92" spans="2:12" ht="37.5" x14ac:dyDescent="0.25">
      <c r="B92" s="1424"/>
      <c r="C92" s="93"/>
      <c r="D92" s="45" t="s">
        <v>1361</v>
      </c>
      <c r="E92" s="5"/>
      <c r="F92" s="5"/>
      <c r="G92" s="5"/>
      <c r="H92" s="5"/>
      <c r="I92" s="5"/>
      <c r="J92" s="5"/>
      <c r="K92" s="5"/>
      <c r="L92" s="5"/>
    </row>
    <row r="93" spans="2:12" ht="37.5" x14ac:dyDescent="0.25">
      <c r="B93" s="1424"/>
      <c r="C93" s="93"/>
      <c r="D93" s="45" t="s">
        <v>1362</v>
      </c>
      <c r="E93" s="5"/>
      <c r="F93" s="5"/>
      <c r="G93" s="5"/>
      <c r="H93" s="5"/>
      <c r="I93" s="5"/>
      <c r="J93" s="5"/>
      <c r="K93" s="5"/>
      <c r="L93" s="5"/>
    </row>
    <row r="94" spans="2:12" ht="38.25" thickBot="1" x14ac:dyDescent="0.3">
      <c r="B94" s="1425"/>
      <c r="C94" s="2"/>
      <c r="D94" s="40" t="s">
        <v>1363</v>
      </c>
      <c r="E94" s="5"/>
      <c r="F94" s="5"/>
      <c r="G94" s="5"/>
      <c r="H94" s="5"/>
      <c r="I94" s="5"/>
      <c r="J94" s="5"/>
      <c r="K94" s="5"/>
      <c r="L94" s="5"/>
    </row>
    <row r="95" spans="2:12" x14ac:dyDescent="0.25">
      <c r="B95" s="5"/>
      <c r="D95" s="5"/>
      <c r="E95" s="5"/>
      <c r="F95" s="5"/>
      <c r="G95" s="5"/>
      <c r="H95" s="5"/>
      <c r="I95" s="5"/>
      <c r="J95" s="5"/>
      <c r="K95" s="5"/>
      <c r="L95" s="5"/>
    </row>
    <row r="96" spans="2:12" x14ac:dyDescent="0.25">
      <c r="B96" s="5"/>
      <c r="D96" s="5"/>
      <c r="E96" s="5"/>
      <c r="F96" s="5"/>
      <c r="G96" s="5"/>
      <c r="H96" s="5"/>
      <c r="I96" s="5"/>
      <c r="J96" s="5"/>
      <c r="K96" s="5"/>
      <c r="L96" s="5"/>
    </row>
    <row r="97" spans="2:12" x14ac:dyDescent="0.25">
      <c r="B97" s="5"/>
      <c r="D97" s="5"/>
      <c r="E97" s="5"/>
      <c r="F97" s="5"/>
      <c r="G97" s="5"/>
      <c r="H97" s="5"/>
      <c r="I97" s="5"/>
      <c r="J97" s="5"/>
      <c r="K97" s="5"/>
      <c r="L97" s="5"/>
    </row>
    <row r="98" spans="2:12" x14ac:dyDescent="0.25">
      <c r="B98" s="5"/>
      <c r="D98" s="5"/>
      <c r="E98" s="5"/>
      <c r="F98" s="5"/>
      <c r="G98" s="5"/>
      <c r="H98" s="5"/>
      <c r="I98" s="5"/>
      <c r="J98" s="5"/>
      <c r="K98" s="5"/>
      <c r="L98" s="5"/>
    </row>
    <row r="99" spans="2:12" x14ac:dyDescent="0.25">
      <c r="B99" s="5"/>
      <c r="D99" s="5"/>
      <c r="E99" s="5"/>
      <c r="F99" s="5"/>
      <c r="G99" s="5"/>
      <c r="H99" s="5"/>
      <c r="I99" s="5"/>
      <c r="J99" s="5"/>
      <c r="K99" s="5"/>
      <c r="L99" s="5"/>
    </row>
    <row r="100" spans="2:12" x14ac:dyDescent="0.25">
      <c r="B100" s="5"/>
      <c r="D100" s="5"/>
      <c r="E100" s="5"/>
      <c r="F100" s="5"/>
      <c r="G100" s="5"/>
      <c r="H100" s="5"/>
      <c r="I100" s="5"/>
      <c r="J100" s="5"/>
      <c r="K100" s="5"/>
      <c r="L100" s="5"/>
    </row>
    <row r="101" spans="2:12" x14ac:dyDescent="0.25">
      <c r="B101" s="5"/>
      <c r="D101" s="5"/>
      <c r="E101" s="5"/>
      <c r="F101" s="5"/>
      <c r="G101" s="5"/>
      <c r="H101" s="5"/>
      <c r="I101" s="5"/>
      <c r="J101" s="5"/>
      <c r="K101" s="5"/>
      <c r="L101" s="5"/>
    </row>
    <row r="102" spans="2:12" x14ac:dyDescent="0.25">
      <c r="B102" s="5"/>
      <c r="D102" s="5"/>
      <c r="E102" s="5"/>
      <c r="F102" s="5"/>
      <c r="G102" s="5"/>
      <c r="H102" s="5"/>
      <c r="I102" s="5"/>
      <c r="J102" s="5"/>
      <c r="K102" s="5"/>
      <c r="L102" s="5"/>
    </row>
    <row r="103" spans="2:12" x14ac:dyDescent="0.25">
      <c r="B103" s="5"/>
      <c r="D103" s="5"/>
      <c r="E103" s="5"/>
      <c r="F103" s="5"/>
      <c r="G103" s="5"/>
      <c r="H103" s="5"/>
      <c r="I103" s="5"/>
      <c r="J103" s="5"/>
      <c r="K103" s="5"/>
      <c r="L103" s="5"/>
    </row>
    <row r="104" spans="2:12" x14ac:dyDescent="0.25">
      <c r="B104" s="5"/>
      <c r="D104" s="5"/>
      <c r="E104" s="5"/>
      <c r="F104" s="5"/>
      <c r="G104" s="5"/>
      <c r="H104" s="5"/>
      <c r="I104" s="5"/>
      <c r="J104" s="5"/>
      <c r="K104" s="5"/>
      <c r="L104" s="5"/>
    </row>
    <row r="105" spans="2:12" x14ac:dyDescent="0.25">
      <c r="B105" s="5"/>
      <c r="D105" s="5"/>
      <c r="E105" s="5"/>
      <c r="F105" s="5"/>
      <c r="G105" s="5"/>
      <c r="H105" s="5"/>
      <c r="I105" s="5"/>
      <c r="J105" s="5"/>
      <c r="K105" s="5"/>
      <c r="L105" s="5"/>
    </row>
    <row r="106" spans="2:12" x14ac:dyDescent="0.25">
      <c r="B106" s="5"/>
      <c r="D106" s="5"/>
      <c r="E106" s="5"/>
      <c r="F106" s="5"/>
      <c r="G106" s="5"/>
      <c r="H106" s="5"/>
      <c r="I106" s="5"/>
      <c r="J106" s="5"/>
      <c r="K106" s="5"/>
      <c r="L106" s="5"/>
    </row>
    <row r="107" spans="2:12" x14ac:dyDescent="0.25">
      <c r="B107" s="5"/>
      <c r="D107" s="5"/>
      <c r="E107" s="5"/>
      <c r="F107" s="5"/>
      <c r="G107" s="5"/>
      <c r="H107" s="5"/>
      <c r="I107" s="5"/>
      <c r="J107" s="5"/>
      <c r="K107" s="5"/>
      <c r="L107" s="5"/>
    </row>
    <row r="108" spans="2:12" x14ac:dyDescent="0.25">
      <c r="B108" s="5"/>
      <c r="D108" s="5"/>
      <c r="E108" s="5"/>
      <c r="F108" s="5"/>
      <c r="G108" s="5"/>
      <c r="H108" s="5"/>
      <c r="I108" s="5"/>
      <c r="J108" s="5"/>
      <c r="K108" s="5"/>
      <c r="L108" s="5"/>
    </row>
    <row r="109" spans="2:12" x14ac:dyDescent="0.25">
      <c r="B109" s="5"/>
      <c r="D109" s="5"/>
      <c r="E109" s="5"/>
      <c r="F109" s="5"/>
      <c r="G109" s="5"/>
      <c r="H109" s="5"/>
      <c r="I109" s="5"/>
      <c r="J109" s="5"/>
      <c r="K109" s="5"/>
      <c r="L109" s="5"/>
    </row>
    <row r="110" spans="2:12" x14ac:dyDescent="0.25">
      <c r="B110" s="5"/>
      <c r="D110" s="5"/>
      <c r="E110" s="5"/>
      <c r="F110" s="5"/>
      <c r="G110" s="5"/>
      <c r="H110" s="5"/>
      <c r="I110" s="5"/>
      <c r="J110" s="5"/>
      <c r="K110" s="5"/>
      <c r="L110" s="5"/>
    </row>
    <row r="111" spans="2:12" x14ac:dyDescent="0.25">
      <c r="B111" s="5"/>
      <c r="D111" s="5"/>
      <c r="E111" s="5"/>
      <c r="F111" s="5"/>
      <c r="G111" s="5"/>
      <c r="H111" s="5"/>
      <c r="I111" s="5"/>
      <c r="J111" s="5"/>
      <c r="K111" s="5"/>
      <c r="L111" s="5"/>
    </row>
    <row r="112" spans="2:12" x14ac:dyDescent="0.25">
      <c r="B112" s="5"/>
      <c r="D112" s="5"/>
      <c r="E112" s="5"/>
      <c r="F112" s="5"/>
      <c r="G112" s="5"/>
      <c r="H112" s="5"/>
      <c r="I112" s="5"/>
      <c r="J112" s="5"/>
      <c r="K112" s="5"/>
      <c r="L112" s="5"/>
    </row>
    <row r="113" spans="2:12" x14ac:dyDescent="0.25">
      <c r="B113" s="5"/>
      <c r="D113" s="5"/>
      <c r="E113" s="5"/>
      <c r="F113" s="5"/>
      <c r="G113" s="5"/>
      <c r="H113" s="5"/>
      <c r="I113" s="5"/>
      <c r="J113" s="5"/>
      <c r="K113" s="5"/>
      <c r="L113" s="5"/>
    </row>
    <row r="114" spans="2:12" x14ac:dyDescent="0.25">
      <c r="B114" s="5"/>
      <c r="D114" s="5"/>
      <c r="E114" s="5"/>
      <c r="F114" s="5"/>
      <c r="G114" s="5"/>
      <c r="H114" s="5"/>
      <c r="I114" s="5"/>
      <c r="J114" s="5"/>
      <c r="K114" s="5"/>
      <c r="L114" s="5"/>
    </row>
    <row r="115" spans="2:12" x14ac:dyDescent="0.25">
      <c r="B115" s="5"/>
      <c r="D115" s="5"/>
      <c r="E115" s="5"/>
      <c r="F115" s="5"/>
      <c r="G115" s="5"/>
      <c r="H115" s="5"/>
      <c r="I115" s="5"/>
      <c r="J115" s="5"/>
      <c r="K115" s="5"/>
      <c r="L115" s="5"/>
    </row>
    <row r="116" spans="2:12" x14ac:dyDescent="0.25">
      <c r="B116" s="5"/>
      <c r="D116" s="5"/>
      <c r="E116" s="5"/>
      <c r="F116" s="5"/>
      <c r="G116" s="5"/>
      <c r="H116" s="5"/>
      <c r="I116" s="5"/>
      <c r="J116" s="5"/>
      <c r="K116" s="5"/>
      <c r="L116" s="5"/>
    </row>
    <row r="117" spans="2:12" x14ac:dyDescent="0.25">
      <c r="B117" s="5"/>
      <c r="D117" s="5"/>
      <c r="E117" s="5"/>
      <c r="F117" s="5"/>
      <c r="G117" s="5"/>
      <c r="H117" s="5"/>
      <c r="I117" s="5"/>
      <c r="J117" s="5"/>
      <c r="K117" s="5"/>
      <c r="L117" s="5"/>
    </row>
    <row r="118" spans="2:12" x14ac:dyDescent="0.25">
      <c r="B118" s="5"/>
      <c r="D118" s="5"/>
      <c r="E118" s="5"/>
      <c r="F118" s="5"/>
      <c r="G118" s="5"/>
      <c r="H118" s="5"/>
      <c r="I118" s="5"/>
      <c r="J118" s="5"/>
      <c r="K118" s="5"/>
      <c r="L118" s="5"/>
    </row>
    <row r="119" spans="2:12" x14ac:dyDescent="0.25">
      <c r="B119" s="5"/>
      <c r="D119" s="5"/>
      <c r="E119" s="5"/>
      <c r="F119" s="5"/>
      <c r="G119" s="5"/>
      <c r="H119" s="5"/>
      <c r="I119" s="5"/>
      <c r="J119" s="5"/>
      <c r="K119" s="5"/>
      <c r="L119" s="5"/>
    </row>
    <row r="120" spans="2:12" x14ac:dyDescent="0.25">
      <c r="B120" s="5"/>
      <c r="D120" s="5"/>
      <c r="E120" s="5"/>
      <c r="F120" s="5"/>
      <c r="G120" s="5"/>
      <c r="H120" s="5"/>
      <c r="I120" s="5"/>
      <c r="J120" s="5"/>
      <c r="K120" s="5"/>
      <c r="L120" s="5"/>
    </row>
    <row r="121" spans="2:12" x14ac:dyDescent="0.25">
      <c r="B121" s="5"/>
      <c r="D121" s="5"/>
      <c r="E121" s="5"/>
      <c r="F121" s="5"/>
      <c r="G121" s="5"/>
      <c r="H121" s="5"/>
      <c r="I121" s="5"/>
      <c r="J121" s="5"/>
      <c r="K121" s="5"/>
      <c r="L121" s="5"/>
    </row>
    <row r="122" spans="2:12" x14ac:dyDescent="0.25">
      <c r="B122" s="5"/>
      <c r="D122" s="5"/>
      <c r="E122" s="5"/>
      <c r="F122" s="5"/>
      <c r="G122" s="5"/>
      <c r="H122" s="5"/>
      <c r="I122" s="5"/>
      <c r="J122" s="5"/>
      <c r="K122" s="5"/>
      <c r="L122" s="5"/>
    </row>
    <row r="123" spans="2:12" x14ac:dyDescent="0.25">
      <c r="B123" s="5"/>
      <c r="D123" s="5"/>
      <c r="E123" s="5"/>
      <c r="F123" s="5"/>
      <c r="G123" s="5"/>
      <c r="H123" s="5"/>
      <c r="I123" s="5"/>
      <c r="J123" s="5"/>
      <c r="K123" s="5"/>
      <c r="L123" s="5"/>
    </row>
    <row r="124" spans="2:12" x14ac:dyDescent="0.25">
      <c r="B124" s="5"/>
      <c r="D124" s="5"/>
      <c r="E124" s="5"/>
      <c r="F124" s="5"/>
      <c r="G124" s="5"/>
      <c r="H124" s="5"/>
      <c r="I124" s="5"/>
      <c r="J124" s="5"/>
      <c r="K124" s="5"/>
      <c r="L124" s="5"/>
    </row>
    <row r="125" spans="2:12" x14ac:dyDescent="0.25">
      <c r="B125" s="5"/>
      <c r="D125" s="5"/>
      <c r="E125" s="5"/>
      <c r="F125" s="5"/>
      <c r="G125" s="5"/>
      <c r="H125" s="5"/>
      <c r="I125" s="5"/>
      <c r="J125" s="5"/>
      <c r="K125" s="5"/>
      <c r="L125" s="5"/>
    </row>
    <row r="126" spans="2:12" x14ac:dyDescent="0.25">
      <c r="B126" s="5"/>
      <c r="D126" s="5"/>
      <c r="E126" s="5"/>
      <c r="F126" s="5"/>
      <c r="G126" s="5"/>
      <c r="H126" s="5"/>
      <c r="I126" s="5"/>
      <c r="J126" s="5"/>
      <c r="K126" s="5"/>
      <c r="L126" s="5"/>
    </row>
    <row r="127" spans="2:12" x14ac:dyDescent="0.25">
      <c r="B127" s="5"/>
      <c r="D127" s="5"/>
      <c r="E127" s="5"/>
      <c r="F127" s="5"/>
      <c r="G127" s="5"/>
      <c r="H127" s="5"/>
      <c r="I127" s="5"/>
      <c r="J127" s="5"/>
      <c r="K127" s="5"/>
      <c r="L127" s="5"/>
    </row>
    <row r="128" spans="2:12" x14ac:dyDescent="0.25">
      <c r="B128" s="5"/>
      <c r="D128" s="5"/>
      <c r="E128" s="5"/>
      <c r="F128" s="5"/>
      <c r="G128" s="5"/>
      <c r="H128" s="5"/>
      <c r="I128" s="5"/>
      <c r="J128" s="5"/>
      <c r="K128" s="5"/>
      <c r="L128" s="5"/>
    </row>
    <row r="129" spans="2:12" x14ac:dyDescent="0.25">
      <c r="B129" s="5"/>
      <c r="D129" s="5"/>
      <c r="E129" s="5"/>
      <c r="F129" s="5"/>
      <c r="G129" s="5"/>
      <c r="H129" s="5"/>
      <c r="I129" s="5"/>
      <c r="J129" s="5"/>
      <c r="K129" s="5"/>
      <c r="L129" s="5"/>
    </row>
    <row r="130" spans="2:12" x14ac:dyDescent="0.25">
      <c r="B130" s="5"/>
      <c r="D130" s="5"/>
      <c r="E130" s="5"/>
      <c r="F130" s="5"/>
      <c r="G130" s="5"/>
      <c r="H130" s="5"/>
      <c r="I130" s="5"/>
      <c r="J130" s="5"/>
      <c r="K130" s="5"/>
      <c r="L130" s="5"/>
    </row>
    <row r="131" spans="2:12" x14ac:dyDescent="0.25">
      <c r="B131" s="5"/>
      <c r="D131" s="5"/>
      <c r="E131" s="5"/>
      <c r="F131" s="5"/>
      <c r="G131" s="5"/>
      <c r="H131" s="5"/>
      <c r="I131" s="5"/>
      <c r="J131" s="5"/>
      <c r="K131" s="5"/>
      <c r="L131" s="5"/>
    </row>
    <row r="132" spans="2:12" x14ac:dyDescent="0.25">
      <c r="B132" s="5"/>
      <c r="D132" s="5"/>
      <c r="E132" s="5"/>
      <c r="F132" s="5"/>
      <c r="G132" s="5"/>
      <c r="H132" s="5"/>
      <c r="I132" s="5"/>
      <c r="J132" s="5"/>
      <c r="K132" s="5"/>
      <c r="L132" s="5"/>
    </row>
    <row r="133" spans="2:12" x14ac:dyDescent="0.25">
      <c r="B133" s="5"/>
      <c r="D133" s="5"/>
      <c r="E133" s="5"/>
      <c r="F133" s="5"/>
      <c r="G133" s="5"/>
      <c r="H133" s="5"/>
      <c r="I133" s="5"/>
      <c r="J133" s="5"/>
      <c r="K133" s="5"/>
      <c r="L133" s="5"/>
    </row>
    <row r="134" spans="2:12" x14ac:dyDescent="0.25">
      <c r="B134" s="5"/>
      <c r="D134" s="5"/>
      <c r="E134" s="5"/>
      <c r="F134" s="5"/>
      <c r="G134" s="5"/>
      <c r="H134" s="5"/>
      <c r="I134" s="5"/>
      <c r="J134" s="5"/>
      <c r="K134" s="5"/>
      <c r="L134" s="5"/>
    </row>
    <row r="135" spans="2:12" x14ac:dyDescent="0.25">
      <c r="B135" s="5"/>
      <c r="D135" s="5"/>
      <c r="E135" s="5"/>
      <c r="F135" s="5"/>
      <c r="G135" s="5"/>
      <c r="H135" s="5"/>
      <c r="I135" s="5"/>
      <c r="J135" s="5"/>
      <c r="K135" s="5"/>
      <c r="L135" s="5"/>
    </row>
    <row r="136" spans="2:12" x14ac:dyDescent="0.25">
      <c r="B136" s="5"/>
      <c r="D136" s="5"/>
      <c r="E136" s="5"/>
      <c r="F136" s="5"/>
      <c r="G136" s="5"/>
      <c r="H136" s="5"/>
      <c r="I136" s="5"/>
      <c r="J136" s="5"/>
      <c r="K136" s="5"/>
      <c r="L136" s="5"/>
    </row>
    <row r="137" spans="2:12" x14ac:dyDescent="0.25">
      <c r="B137" s="5"/>
      <c r="D137" s="5"/>
      <c r="E137" s="5"/>
      <c r="F137" s="5"/>
      <c r="G137" s="5"/>
      <c r="H137" s="5"/>
      <c r="I137" s="5"/>
      <c r="J137" s="5"/>
      <c r="K137" s="5"/>
      <c r="L137" s="5"/>
    </row>
    <row r="138" spans="2:12" x14ac:dyDescent="0.25">
      <c r="B138" s="5"/>
      <c r="D138" s="5"/>
      <c r="E138" s="5"/>
      <c r="F138" s="5"/>
      <c r="G138" s="5"/>
      <c r="H138" s="5"/>
      <c r="I138" s="5"/>
      <c r="J138" s="5"/>
      <c r="K138" s="5"/>
      <c r="L138" s="5"/>
    </row>
    <row r="139" spans="2:12" x14ac:dyDescent="0.25">
      <c r="B139" s="5"/>
      <c r="D139" s="5"/>
      <c r="E139" s="5"/>
      <c r="F139" s="5"/>
      <c r="G139" s="5"/>
      <c r="H139" s="5"/>
      <c r="I139" s="5"/>
      <c r="J139" s="5"/>
      <c r="K139" s="5"/>
      <c r="L139" s="5"/>
    </row>
    <row r="140" spans="2:12" x14ac:dyDescent="0.25">
      <c r="B140" s="5"/>
      <c r="D140" s="5"/>
      <c r="E140" s="5"/>
      <c r="F140" s="5"/>
      <c r="G140" s="5"/>
      <c r="H140" s="5"/>
      <c r="I140" s="5"/>
      <c r="J140" s="5"/>
      <c r="K140" s="5"/>
      <c r="L140" s="5"/>
    </row>
    <row r="141" spans="2:12" x14ac:dyDescent="0.25">
      <c r="B141" s="5"/>
      <c r="D141" s="5"/>
      <c r="E141" s="5"/>
      <c r="F141" s="5"/>
      <c r="G141" s="5"/>
      <c r="H141" s="5"/>
      <c r="I141" s="5"/>
      <c r="J141" s="5"/>
      <c r="K141" s="5"/>
      <c r="L141" s="5"/>
    </row>
    <row r="142" spans="2:12" x14ac:dyDescent="0.25">
      <c r="B142" s="5"/>
      <c r="D142" s="5"/>
      <c r="E142" s="5"/>
      <c r="F142" s="5"/>
      <c r="G142" s="5"/>
      <c r="H142" s="5"/>
      <c r="I142" s="5"/>
      <c r="J142" s="5"/>
      <c r="K142" s="5"/>
      <c r="L142" s="5"/>
    </row>
    <row r="143" spans="2:12" x14ac:dyDescent="0.25">
      <c r="B143" s="5"/>
      <c r="D143" s="5"/>
      <c r="E143" s="5"/>
      <c r="F143" s="5"/>
      <c r="G143" s="5"/>
      <c r="H143" s="5"/>
      <c r="I143" s="5"/>
      <c r="J143" s="5"/>
      <c r="K143" s="5"/>
      <c r="L143" s="5"/>
    </row>
    <row r="144" spans="2:12" x14ac:dyDescent="0.25">
      <c r="B144" s="5"/>
      <c r="D144" s="5"/>
      <c r="E144" s="5"/>
      <c r="F144" s="5"/>
      <c r="G144" s="5"/>
      <c r="H144" s="5"/>
      <c r="I144" s="5"/>
      <c r="J144" s="5"/>
      <c r="K144" s="5"/>
      <c r="L144" s="5"/>
    </row>
    <row r="145" spans="2:12" x14ac:dyDescent="0.25">
      <c r="B145" s="5"/>
      <c r="D145" s="5"/>
      <c r="E145" s="5"/>
      <c r="F145" s="5"/>
      <c r="G145" s="5"/>
      <c r="H145" s="5"/>
      <c r="I145" s="5"/>
      <c r="J145" s="5"/>
      <c r="K145" s="5"/>
      <c r="L145" s="5"/>
    </row>
    <row r="146" spans="2:12" x14ac:dyDescent="0.25">
      <c r="B146" s="5"/>
      <c r="D146" s="5"/>
      <c r="E146" s="5"/>
      <c r="F146" s="5"/>
      <c r="G146" s="5"/>
      <c r="H146" s="5"/>
      <c r="I146" s="5"/>
      <c r="J146" s="5"/>
      <c r="K146" s="5"/>
      <c r="L146" s="5"/>
    </row>
    <row r="147" spans="2:12" x14ac:dyDescent="0.25">
      <c r="B147" s="5"/>
      <c r="D147" s="5"/>
      <c r="E147" s="5"/>
      <c r="F147" s="5"/>
      <c r="G147" s="5"/>
      <c r="H147" s="5"/>
      <c r="I147" s="5"/>
      <c r="J147" s="5"/>
      <c r="K147" s="5"/>
      <c r="L147" s="5"/>
    </row>
    <row r="148" spans="2:12" x14ac:dyDescent="0.25">
      <c r="B148" s="5"/>
      <c r="D148" s="5"/>
      <c r="E148" s="5"/>
      <c r="F148" s="5"/>
      <c r="G148" s="5"/>
      <c r="H148" s="5"/>
      <c r="I148" s="5"/>
      <c r="J148" s="5"/>
      <c r="K148" s="5"/>
      <c r="L148" s="5"/>
    </row>
    <row r="149" spans="2:12" x14ac:dyDescent="0.25">
      <c r="B149" s="5"/>
      <c r="D149" s="5"/>
      <c r="E149" s="5"/>
      <c r="F149" s="5"/>
      <c r="G149" s="5"/>
      <c r="H149" s="5"/>
      <c r="I149" s="5"/>
      <c r="J149" s="5"/>
      <c r="K149" s="5"/>
      <c r="L149" s="5"/>
    </row>
    <row r="150" spans="2:12" x14ac:dyDescent="0.25">
      <c r="B150" s="5"/>
      <c r="D150" s="5"/>
      <c r="E150" s="5"/>
      <c r="F150" s="5"/>
      <c r="G150" s="5"/>
      <c r="H150" s="5"/>
      <c r="I150" s="5"/>
      <c r="J150" s="5"/>
      <c r="K150" s="5"/>
      <c r="L150" s="5"/>
    </row>
    <row r="151" spans="2:12" x14ac:dyDescent="0.25">
      <c r="B151" s="5"/>
      <c r="D151" s="5"/>
      <c r="E151" s="5"/>
      <c r="F151" s="5"/>
      <c r="G151" s="5"/>
      <c r="H151" s="5"/>
      <c r="I151" s="5"/>
      <c r="J151" s="5"/>
      <c r="K151" s="5"/>
      <c r="L151" s="5"/>
    </row>
    <row r="152" spans="2:12" x14ac:dyDescent="0.25">
      <c r="B152" s="5"/>
      <c r="D152" s="5"/>
      <c r="E152" s="5"/>
      <c r="F152" s="5"/>
      <c r="G152" s="5"/>
      <c r="H152" s="5"/>
      <c r="I152" s="5"/>
      <c r="J152" s="5"/>
      <c r="K152" s="5"/>
      <c r="L152" s="5"/>
    </row>
    <row r="153" spans="2:12" x14ac:dyDescent="0.25">
      <c r="B153" s="5"/>
      <c r="D153" s="5"/>
      <c r="E153" s="5"/>
      <c r="F153" s="5"/>
      <c r="G153" s="5"/>
      <c r="H153" s="5"/>
      <c r="I153" s="5"/>
      <c r="J153" s="5"/>
      <c r="K153" s="5"/>
      <c r="L153" s="5"/>
    </row>
    <row r="154" spans="2:12" x14ac:dyDescent="0.25">
      <c r="B154" s="5"/>
      <c r="D154" s="5"/>
      <c r="E154" s="5"/>
      <c r="F154" s="5"/>
      <c r="G154" s="5"/>
      <c r="H154" s="5"/>
      <c r="I154" s="5"/>
      <c r="J154" s="5"/>
      <c r="K154" s="5"/>
      <c r="L154" s="5"/>
    </row>
    <row r="155" spans="2:12" x14ac:dyDescent="0.25">
      <c r="B155" s="5"/>
      <c r="D155" s="5"/>
      <c r="E155" s="5"/>
      <c r="F155" s="5"/>
      <c r="G155" s="5"/>
      <c r="H155" s="5"/>
      <c r="I155" s="5"/>
      <c r="J155" s="5"/>
      <c r="K155" s="5"/>
      <c r="L155" s="5"/>
    </row>
    <row r="156" spans="2:12" x14ac:dyDescent="0.25">
      <c r="B156" s="5"/>
      <c r="D156" s="5"/>
      <c r="E156" s="5"/>
      <c r="F156" s="5"/>
      <c r="G156" s="5"/>
      <c r="H156" s="5"/>
      <c r="I156" s="5"/>
      <c r="J156" s="5"/>
      <c r="K156" s="5"/>
      <c r="L156" s="5"/>
    </row>
    <row r="157" spans="2:12" x14ac:dyDescent="0.25">
      <c r="B157" s="5"/>
      <c r="D157" s="5"/>
      <c r="E157" s="5"/>
      <c r="F157" s="5"/>
      <c r="G157" s="5"/>
      <c r="H157" s="5"/>
      <c r="I157" s="5"/>
      <c r="J157" s="5"/>
      <c r="K157" s="5"/>
      <c r="L157" s="5"/>
    </row>
    <row r="158" spans="2:12" x14ac:dyDescent="0.25">
      <c r="B158" s="5"/>
      <c r="D158" s="5"/>
      <c r="E158" s="5"/>
      <c r="F158" s="5"/>
      <c r="G158" s="5"/>
      <c r="H158" s="5"/>
      <c r="I158" s="5"/>
      <c r="J158" s="5"/>
      <c r="K158" s="5"/>
      <c r="L158" s="5"/>
    </row>
    <row r="159" spans="2:12" x14ac:dyDescent="0.25">
      <c r="B159" s="5"/>
      <c r="D159" s="5"/>
      <c r="E159" s="5"/>
      <c r="F159" s="5"/>
      <c r="G159" s="5"/>
      <c r="H159" s="5"/>
      <c r="I159" s="5"/>
      <c r="J159" s="5"/>
      <c r="K159" s="5"/>
      <c r="L159" s="5"/>
    </row>
    <row r="160" spans="2:12" x14ac:dyDescent="0.25">
      <c r="B160" s="5"/>
      <c r="D160" s="5"/>
      <c r="E160" s="5"/>
      <c r="F160" s="5"/>
      <c r="G160" s="5"/>
      <c r="H160" s="5"/>
      <c r="I160" s="5"/>
      <c r="J160" s="5"/>
      <c r="K160" s="5"/>
      <c r="L160" s="5"/>
    </row>
    <row r="161" spans="2:12" x14ac:dyDescent="0.25">
      <c r="B161" s="5"/>
      <c r="D161" s="5"/>
      <c r="E161" s="5"/>
      <c r="F161" s="5"/>
      <c r="G161" s="5"/>
      <c r="H161" s="5"/>
      <c r="I161" s="5"/>
      <c r="J161" s="5"/>
      <c r="K161" s="5"/>
      <c r="L161" s="5"/>
    </row>
    <row r="162" spans="2:12" x14ac:dyDescent="0.25">
      <c r="B162" s="5"/>
      <c r="D162" s="5"/>
      <c r="E162" s="5"/>
      <c r="F162" s="5"/>
      <c r="G162" s="5"/>
      <c r="H162" s="5"/>
      <c r="I162" s="5"/>
      <c r="J162" s="5"/>
      <c r="K162" s="5"/>
      <c r="L162" s="5"/>
    </row>
    <row r="163" spans="2:12" x14ac:dyDescent="0.25">
      <c r="B163" s="5"/>
      <c r="D163" s="5"/>
      <c r="E163" s="5"/>
      <c r="F163" s="5"/>
      <c r="G163" s="5"/>
      <c r="H163" s="5"/>
      <c r="I163" s="5"/>
      <c r="J163" s="5"/>
      <c r="K163" s="5"/>
      <c r="L163" s="5"/>
    </row>
    <row r="164" spans="2:12" x14ac:dyDescent="0.25">
      <c r="B164" s="5"/>
      <c r="D164" s="5"/>
      <c r="E164" s="5"/>
      <c r="F164" s="5"/>
      <c r="G164" s="5"/>
      <c r="H164" s="5"/>
      <c r="I164" s="5"/>
      <c r="J164" s="5"/>
      <c r="K164" s="5"/>
      <c r="L164" s="5"/>
    </row>
    <row r="165" spans="2:12" x14ac:dyDescent="0.25">
      <c r="B165" s="5"/>
      <c r="D165" s="5"/>
      <c r="E165" s="5"/>
      <c r="F165" s="5"/>
      <c r="G165" s="5"/>
      <c r="H165" s="5"/>
      <c r="I165" s="5"/>
      <c r="J165" s="5"/>
      <c r="K165" s="5"/>
      <c r="L165" s="5"/>
    </row>
    <row r="166" spans="2:12" x14ac:dyDescent="0.25">
      <c r="B166" s="5"/>
      <c r="D166" s="5"/>
      <c r="E166" s="5"/>
      <c r="F166" s="5"/>
      <c r="G166" s="5"/>
      <c r="H166" s="5"/>
      <c r="I166" s="5"/>
      <c r="J166" s="5"/>
      <c r="K166" s="5"/>
      <c r="L166" s="5"/>
    </row>
    <row r="167" spans="2:12" x14ac:dyDescent="0.25">
      <c r="B167" s="5"/>
      <c r="D167" s="5"/>
      <c r="E167" s="5"/>
      <c r="F167" s="5"/>
      <c r="G167" s="5"/>
      <c r="H167" s="5"/>
      <c r="I167" s="5"/>
      <c r="J167" s="5"/>
      <c r="K167" s="5"/>
      <c r="L167" s="5"/>
    </row>
    <row r="168" spans="2:12" x14ac:dyDescent="0.25">
      <c r="B168" s="5"/>
      <c r="D168" s="5"/>
      <c r="E168" s="5"/>
      <c r="F168" s="5"/>
      <c r="G168" s="5"/>
      <c r="H168" s="5"/>
      <c r="I168" s="5"/>
      <c r="J168" s="5"/>
      <c r="K168" s="5"/>
      <c r="L168" s="5"/>
    </row>
    <row r="169" spans="2:12" x14ac:dyDescent="0.25">
      <c r="B169" s="5"/>
      <c r="D169" s="5"/>
      <c r="E169" s="5"/>
      <c r="F169" s="5"/>
      <c r="G169" s="5"/>
      <c r="H169" s="5"/>
      <c r="I169" s="5"/>
      <c r="J169" s="5"/>
      <c r="K169" s="5"/>
      <c r="L169" s="5"/>
    </row>
    <row r="170" spans="2:12" x14ac:dyDescent="0.25">
      <c r="B170" s="5"/>
      <c r="D170" s="5"/>
      <c r="E170" s="5"/>
      <c r="F170" s="5"/>
      <c r="G170" s="5"/>
      <c r="H170" s="5"/>
      <c r="I170" s="5"/>
      <c r="J170" s="5"/>
      <c r="K170" s="5"/>
      <c r="L170" s="5"/>
    </row>
    <row r="171" spans="2:12" x14ac:dyDescent="0.25">
      <c r="B171" s="5"/>
      <c r="D171" s="5"/>
      <c r="E171" s="5"/>
      <c r="F171" s="5"/>
      <c r="G171" s="5"/>
      <c r="H171" s="5"/>
      <c r="I171" s="5"/>
      <c r="J171" s="5"/>
      <c r="K171" s="5"/>
      <c r="L171" s="5"/>
    </row>
    <row r="172" spans="2:12" x14ac:dyDescent="0.25">
      <c r="B172" s="5"/>
      <c r="D172" s="5"/>
      <c r="E172" s="5"/>
      <c r="F172" s="5"/>
      <c r="G172" s="5"/>
      <c r="H172" s="5"/>
      <c r="I172" s="5"/>
      <c r="J172" s="5"/>
      <c r="K172" s="5"/>
      <c r="L172" s="5"/>
    </row>
    <row r="173" spans="2:12" x14ac:dyDescent="0.25">
      <c r="B173" s="5"/>
      <c r="D173" s="5"/>
      <c r="E173" s="5"/>
      <c r="F173" s="5"/>
      <c r="G173" s="5"/>
      <c r="H173" s="5"/>
      <c r="I173" s="5"/>
      <c r="J173" s="5"/>
      <c r="K173" s="5"/>
      <c r="L173" s="5"/>
    </row>
    <row r="174" spans="2:12" x14ac:dyDescent="0.25">
      <c r="B174" s="5"/>
      <c r="D174" s="5"/>
      <c r="E174" s="5"/>
      <c r="F174" s="5"/>
      <c r="G174" s="5"/>
      <c r="H174" s="5"/>
      <c r="I174" s="5"/>
      <c r="J174" s="5"/>
      <c r="K174" s="5"/>
      <c r="L174" s="5"/>
    </row>
    <row r="175" spans="2:12" x14ac:dyDescent="0.25">
      <c r="B175" s="5"/>
      <c r="D175" s="5"/>
      <c r="E175" s="5"/>
      <c r="F175" s="5"/>
      <c r="G175" s="5"/>
      <c r="H175" s="5"/>
      <c r="I175" s="5"/>
      <c r="J175" s="5"/>
      <c r="K175" s="5"/>
      <c r="L175" s="5"/>
    </row>
    <row r="176" spans="2:12" x14ac:dyDescent="0.25">
      <c r="B176" s="5"/>
      <c r="D176" s="5"/>
      <c r="E176" s="5"/>
      <c r="F176" s="5"/>
      <c r="G176" s="5"/>
      <c r="H176" s="5"/>
      <c r="I176" s="5"/>
      <c r="J176" s="5"/>
      <c r="K176" s="5"/>
      <c r="L176" s="5"/>
    </row>
    <row r="177" spans="2:12" x14ac:dyDescent="0.25">
      <c r="B177" s="5"/>
      <c r="D177" s="5"/>
      <c r="E177" s="5"/>
      <c r="F177" s="5"/>
      <c r="G177" s="5"/>
      <c r="H177" s="5"/>
      <c r="I177" s="5"/>
      <c r="J177" s="5"/>
      <c r="K177" s="5"/>
      <c r="L177" s="5"/>
    </row>
    <row r="178" spans="2:12" x14ac:dyDescent="0.25">
      <c r="B178" s="5"/>
      <c r="D178" s="5"/>
      <c r="E178" s="5"/>
      <c r="F178" s="5"/>
      <c r="G178" s="5"/>
      <c r="H178" s="5"/>
      <c r="I178" s="5"/>
      <c r="J178" s="5"/>
      <c r="K178" s="5"/>
      <c r="L178" s="5"/>
    </row>
    <row r="179" spans="2:12" x14ac:dyDescent="0.25">
      <c r="B179" s="5"/>
      <c r="D179" s="5"/>
      <c r="E179" s="5"/>
      <c r="F179" s="5"/>
      <c r="G179" s="5"/>
      <c r="H179" s="5"/>
      <c r="I179" s="5"/>
      <c r="J179" s="5"/>
      <c r="K179" s="5"/>
      <c r="L179" s="5"/>
    </row>
    <row r="180" spans="2:12" x14ac:dyDescent="0.25">
      <c r="B180" s="5"/>
      <c r="D180" s="5"/>
      <c r="E180" s="5"/>
      <c r="F180" s="5"/>
      <c r="G180" s="5"/>
      <c r="H180" s="5"/>
      <c r="I180" s="5"/>
      <c r="J180" s="5"/>
      <c r="K180" s="5"/>
      <c r="L180" s="5"/>
    </row>
    <row r="181" spans="2:12" x14ac:dyDescent="0.25">
      <c r="B181" s="5"/>
      <c r="D181" s="5"/>
      <c r="E181" s="5"/>
      <c r="F181" s="5"/>
      <c r="G181" s="5"/>
      <c r="H181" s="5"/>
      <c r="I181" s="5"/>
      <c r="J181" s="5"/>
      <c r="K181" s="5"/>
      <c r="L181" s="5"/>
    </row>
    <row r="182" spans="2:12" x14ac:dyDescent="0.25">
      <c r="B182" s="5"/>
      <c r="D182" s="5"/>
      <c r="E182" s="5"/>
      <c r="F182" s="5"/>
      <c r="G182" s="5"/>
      <c r="H182" s="5"/>
      <c r="I182" s="5"/>
      <c r="J182" s="5"/>
      <c r="K182" s="5"/>
      <c r="L182" s="5"/>
    </row>
    <row r="183" spans="2:12" x14ac:dyDescent="0.25">
      <c r="B183" s="5"/>
      <c r="D183" s="5"/>
      <c r="E183" s="5"/>
      <c r="F183" s="5"/>
      <c r="G183" s="5"/>
      <c r="H183" s="5"/>
      <c r="I183" s="5"/>
      <c r="J183" s="5"/>
      <c r="K183" s="5"/>
      <c r="L183" s="5"/>
    </row>
    <row r="184" spans="2:12" x14ac:dyDescent="0.25">
      <c r="K184" s="5"/>
      <c r="L184" s="5"/>
    </row>
  </sheetData>
  <mergeCells count="40">
    <mergeCell ref="A1:P1"/>
    <mergeCell ref="A2:P2"/>
    <mergeCell ref="A3:P3"/>
    <mergeCell ref="A4:D4"/>
    <mergeCell ref="A5:P5"/>
    <mergeCell ref="B69:F69"/>
    <mergeCell ref="D44:I44"/>
    <mergeCell ref="D45:I45"/>
    <mergeCell ref="B47:E47"/>
    <mergeCell ref="B48:B54"/>
    <mergeCell ref="B56:E56"/>
    <mergeCell ref="B57:B63"/>
    <mergeCell ref="B66:D67"/>
    <mergeCell ref="B89:B94"/>
    <mergeCell ref="B74:D74"/>
    <mergeCell ref="B76:B84"/>
    <mergeCell ref="B85:B86"/>
    <mergeCell ref="D85:D86"/>
    <mergeCell ref="B87:B88"/>
    <mergeCell ref="K39:K40"/>
    <mergeCell ref="L39:L40"/>
    <mergeCell ref="M39:M40"/>
    <mergeCell ref="L24:L25"/>
    <mergeCell ref="M24:M25"/>
    <mergeCell ref="B10:D10"/>
    <mergeCell ref="F10:P10"/>
    <mergeCell ref="F11:P11"/>
    <mergeCell ref="E13:P13"/>
    <mergeCell ref="N24:N25"/>
    <mergeCell ref="O24:O25"/>
    <mergeCell ref="P24:P25"/>
    <mergeCell ref="K24:K25"/>
    <mergeCell ref="B15:B43"/>
    <mergeCell ref="D15:I15"/>
    <mergeCell ref="D22:I22"/>
    <mergeCell ref="D23:I23"/>
    <mergeCell ref="D31:I31"/>
    <mergeCell ref="D32:I32"/>
    <mergeCell ref="D33:I33"/>
    <mergeCell ref="D43:I43"/>
  </mergeCells>
  <conditionalFormatting sqref="I20">
    <cfRule type="containsErrors" dxfId="88" priority="6">
      <formula>ISERROR(I20)</formula>
    </cfRule>
  </conditionalFormatting>
  <conditionalFormatting sqref="I25">
    <cfRule type="containsText" dxfId="87" priority="5" operator="containsText" text="debe">
      <formula>NOT(ISERROR(SEARCH("debe",I25)))</formula>
    </cfRule>
  </conditionalFormatting>
  <conditionalFormatting sqref="F10">
    <cfRule type="notContainsBlanks" dxfId="86" priority="4">
      <formula>LEN(TRIM(F10))&gt;0</formula>
    </cfRule>
  </conditionalFormatting>
  <conditionalFormatting sqref="F11 Q11:S11 Q13:R13 Q15:R15">
    <cfRule type="expression" dxfId="85" priority="2">
      <formula>E11="NO SE REPORTA"</formula>
    </cfRule>
    <cfRule type="expression" dxfId="84" priority="3">
      <formula>E10="NO APLICA"</formula>
    </cfRule>
  </conditionalFormatting>
  <conditionalFormatting sqref="E12:P12">
    <cfRule type="expression" dxfId="83" priority="1">
      <formula>E11="SI SE REPORTA"</formula>
    </cfRule>
  </conditionalFormatting>
  <dataValidations count="6">
    <dataValidation type="whole" operator="greaterThanOrEqual" allowBlank="1" showInputMessage="1" showErrorMessage="1" errorTitle="ERROR" error="Valor en HECTAREAS (sin decimales)" sqref="E17:E19 E21 E25:H29 F35:F42 I26:I30 L41:L45">
      <formula1>0</formula1>
    </dataValidation>
    <dataValidation allowBlank="1" showInputMessage="1" showErrorMessage="1" promptTitle="ESTADO" prompt="en formulación_x000a_en actualización_x000a_en adopción_x000a_adoptado" sqref="G35:G42"/>
    <dataValidation type="whole" errorStyle="warning" operator="equal" allowBlank="1" showInputMessage="1" showErrorMessage="1" error="LA SUMA DEBE SER IGUAL A LA META CUATRIENAL" promptTitle="OJO" prompt="LA SUMA DEBE SER IGUAL A LA META CUATRIENAL" sqref="I25">
      <formula1>E20</formula1>
    </dataValidation>
    <dataValidation type="decimal" allowBlank="1" showInputMessage="1" showErrorMessage="1" errorTitle="ERROR" error="Escriba un valor entre 0% y 100%" sqref="L26:L29">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U181"/>
  <sheetViews>
    <sheetView showGridLines="0" topLeftCell="C1" zoomScale="98" zoomScaleNormal="98" workbookViewId="0">
      <selection activeCell="K18" sqref="K18"/>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3"/>
      <c r="M1"/>
      <c r="N1"/>
      <c r="O1"/>
      <c r="P1"/>
      <c r="Q1"/>
      <c r="R1"/>
    </row>
    <row r="2" spans="1:21" s="388" customFormat="1" ht="16.5" customHeight="1" thickBot="1" x14ac:dyDescent="0.3">
      <c r="A2" s="1399" t="str">
        <f>'Datos Generales'!C5</f>
        <v>Corporación Autónoma Regional del Canal del Dique – CARDIQUE</v>
      </c>
      <c r="B2" s="1400"/>
      <c r="C2" s="1400"/>
      <c r="D2" s="1400"/>
      <c r="E2" s="1400"/>
      <c r="F2" s="1400"/>
      <c r="G2" s="1400"/>
      <c r="H2" s="1400"/>
      <c r="I2" s="1400"/>
      <c r="J2" s="1400"/>
      <c r="K2" s="1400"/>
      <c r="L2" s="1401"/>
      <c r="M2"/>
      <c r="N2"/>
      <c r="O2"/>
      <c r="P2"/>
      <c r="Q2"/>
      <c r="R2"/>
    </row>
    <row r="3" spans="1:21" s="388" customFormat="1" ht="16.5" customHeight="1" thickBot="1" x14ac:dyDescent="0.3">
      <c r="A3" s="1236" t="s">
        <v>841</v>
      </c>
      <c r="B3" s="1237"/>
      <c r="C3" s="1237"/>
      <c r="D3" s="1237"/>
      <c r="E3" s="1237"/>
      <c r="F3" s="1237"/>
      <c r="G3" s="1237"/>
      <c r="H3" s="1237"/>
      <c r="I3" s="1237"/>
      <c r="J3" s="1237"/>
      <c r="K3" s="1237"/>
      <c r="L3" s="1238"/>
      <c r="M3"/>
      <c r="N3"/>
      <c r="O3"/>
      <c r="P3"/>
      <c r="Q3"/>
      <c r="R3"/>
    </row>
    <row r="4" spans="1:21" s="388" customFormat="1" ht="16.5" thickBot="1" x14ac:dyDescent="0.3">
      <c r="A4" s="1397" t="s">
        <v>62</v>
      </c>
      <c r="B4" s="1398"/>
      <c r="C4" s="1398"/>
      <c r="D4" s="1398"/>
      <c r="E4" s="405" t="str">
        <f>'Datos Generales'!C6</f>
        <v>2022-II</v>
      </c>
      <c r="F4" s="405"/>
      <c r="G4" s="405"/>
      <c r="H4" s="405"/>
      <c r="I4" s="405"/>
      <c r="J4" s="405"/>
      <c r="K4" s="405"/>
      <c r="L4" s="408"/>
      <c r="M4"/>
      <c r="N4"/>
      <c r="O4"/>
      <c r="P4"/>
      <c r="Q4"/>
      <c r="R4"/>
    </row>
    <row r="5" spans="1:21" ht="16.5" customHeight="1" thickBot="1" x14ac:dyDescent="0.3">
      <c r="A5" s="1236" t="s">
        <v>101</v>
      </c>
      <c r="B5" s="1237"/>
      <c r="C5" s="1237"/>
      <c r="D5" s="1237"/>
      <c r="E5" s="1237"/>
      <c r="F5" s="1237"/>
      <c r="G5" s="1237"/>
      <c r="H5" s="1237"/>
      <c r="I5" s="1237"/>
      <c r="J5" s="1237"/>
      <c r="K5" s="1237"/>
      <c r="L5" s="1238"/>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2022</v>
      </c>
      <c r="D8" s="214" t="str">
        <f>IF(E10="NO APLICA","NO APLICA",IF(E11="NO SE REPORTA","SIN INFORMACION",+G20))</f>
        <v>NO APLICA</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1280</v>
      </c>
      <c r="F10" s="1512" t="s">
        <v>2667</v>
      </c>
      <c r="G10" s="1513"/>
      <c r="H10" s="1513"/>
      <c r="I10" s="1513"/>
      <c r="J10" s="555"/>
      <c r="K10" s="555"/>
      <c r="L10" s="555"/>
      <c r="S10" s="555"/>
      <c r="T10" s="5"/>
      <c r="U10" s="5"/>
    </row>
    <row r="11" spans="1:21" ht="14.45" customHeight="1" x14ac:dyDescent="0.25">
      <c r="B11" s="358"/>
      <c r="C11" s="87"/>
      <c r="D11" s="171" t="str">
        <f>IF(E10="SI APLICA","¿El indicador no se reporta por limitaciones de información disponible? ","")</f>
        <v/>
      </c>
      <c r="E11" s="553" t="s">
        <v>1307</v>
      </c>
      <c r="F11" s="556"/>
      <c r="G11" s="557"/>
      <c r="H11" s="557"/>
      <c r="I11" s="557"/>
      <c r="J11" s="557"/>
      <c r="K11" s="557"/>
      <c r="L11" s="557"/>
      <c r="S11" s="557"/>
    </row>
    <row r="12" spans="1:21" ht="23.45" customHeight="1" x14ac:dyDescent="0.25">
      <c r="B12" s="356"/>
      <c r="C12" s="87"/>
      <c r="D12" s="171" t="str">
        <f>IF(E11="SI SE REPORTA","¿Qué programas o proyectos del Plan de Acción están asociados al indicador? ","")</f>
        <v/>
      </c>
      <c r="E12" s="1461"/>
      <c r="F12" s="1461"/>
      <c r="G12" s="1461"/>
      <c r="H12" s="1461"/>
      <c r="I12" s="1461"/>
      <c r="J12" s="1461"/>
      <c r="K12" s="1461"/>
      <c r="L12" s="1461"/>
    </row>
    <row r="13" spans="1:21" ht="88.5" customHeight="1" x14ac:dyDescent="0.25">
      <c r="B13" s="356"/>
      <c r="C13" s="87"/>
      <c r="D13" s="171" t="s">
        <v>887</v>
      </c>
      <c r="E13" s="1457" t="s">
        <v>2508</v>
      </c>
      <c r="F13" s="1457"/>
      <c r="G13" s="1457"/>
      <c r="H13" s="1457"/>
      <c r="I13" s="1457"/>
      <c r="J13" s="1457"/>
      <c r="K13" s="1457"/>
      <c r="L13" s="1457"/>
    </row>
    <row r="14" spans="1:21" ht="6.95" customHeight="1" thickBot="1" x14ac:dyDescent="0.3">
      <c r="B14" s="356"/>
      <c r="D14" s="5"/>
      <c r="E14" s="5"/>
      <c r="F14" s="5"/>
      <c r="G14" s="5"/>
      <c r="H14" s="5"/>
      <c r="I14" s="5"/>
      <c r="J14" s="5"/>
      <c r="K14" s="5"/>
    </row>
    <row r="15" spans="1:21" ht="15.6" customHeight="1" thickTop="1" thickBot="1" x14ac:dyDescent="0.3">
      <c r="B15" s="1514" t="s">
        <v>888</v>
      </c>
      <c r="C15" s="88"/>
      <c r="D15" s="1408" t="s">
        <v>1189</v>
      </c>
      <c r="E15" s="1409"/>
      <c r="F15" s="1409"/>
      <c r="G15" s="1409"/>
      <c r="H15" s="1409"/>
      <c r="I15" s="1409"/>
      <c r="J15" s="1409"/>
      <c r="K15" s="1409"/>
      <c r="L15" s="1516"/>
    </row>
    <row r="16" spans="1:21" ht="36.75" thickBot="1" x14ac:dyDescent="0.3">
      <c r="B16" s="1515"/>
      <c r="C16" s="93"/>
      <c r="D16" s="43" t="s">
        <v>1364</v>
      </c>
      <c r="E16" s="43" t="s">
        <v>1365</v>
      </c>
      <c r="F16" s="43" t="s">
        <v>1366</v>
      </c>
      <c r="G16" s="43" t="s">
        <v>1367</v>
      </c>
      <c r="H16" s="5"/>
      <c r="I16" s="5"/>
      <c r="J16" s="5"/>
      <c r="K16" s="5"/>
      <c r="L16" s="13"/>
    </row>
    <row r="17" spans="2:12" ht="36.75" thickBot="1" x14ac:dyDescent="0.3">
      <c r="B17" s="1515"/>
      <c r="C17" s="93"/>
      <c r="D17" s="40" t="s">
        <v>1368</v>
      </c>
      <c r="E17" s="205">
        <v>4</v>
      </c>
      <c r="F17" s="205">
        <v>0</v>
      </c>
      <c r="G17" s="144">
        <f>+E17+F17</f>
        <v>4</v>
      </c>
      <c r="H17" s="5"/>
      <c r="I17" s="5"/>
      <c r="J17" s="5"/>
      <c r="K17" s="5"/>
      <c r="L17" s="13"/>
    </row>
    <row r="18" spans="2:12" ht="24.75" thickBot="1" x14ac:dyDescent="0.3">
      <c r="B18" s="1515"/>
      <c r="C18" s="93"/>
      <c r="D18" s="40" t="s">
        <v>1369</v>
      </c>
      <c r="E18" s="205">
        <v>0</v>
      </c>
      <c r="F18" s="205">
        <v>0</v>
      </c>
      <c r="G18" s="144">
        <f>+E18+F18</f>
        <v>0</v>
      </c>
      <c r="H18" s="5"/>
      <c r="I18" s="5"/>
      <c r="J18" s="5"/>
      <c r="K18" s="5"/>
      <c r="L18" s="13"/>
    </row>
    <row r="19" spans="2:12" ht="24.75" thickBot="1" x14ac:dyDescent="0.3">
      <c r="B19" s="1515"/>
      <c r="C19" s="93"/>
      <c r="D19" s="40" t="s">
        <v>1370</v>
      </c>
      <c r="E19" s="205">
        <v>0</v>
      </c>
      <c r="F19" s="205">
        <v>0</v>
      </c>
      <c r="G19" s="144">
        <f>+E19+F19</f>
        <v>0</v>
      </c>
      <c r="H19" s="5"/>
      <c r="I19" s="5"/>
      <c r="J19" s="5"/>
      <c r="K19" s="5"/>
      <c r="L19" s="13"/>
    </row>
    <row r="20" spans="2:12" ht="24.75" thickBot="1" x14ac:dyDescent="0.3">
      <c r="B20" s="1515"/>
      <c r="C20" s="93"/>
      <c r="D20" s="40" t="s">
        <v>101</v>
      </c>
      <c r="E20" s="185" t="str">
        <f>IFERROR(E19/E18,"N.A.")</f>
        <v>N.A.</v>
      </c>
      <c r="F20" s="185" t="str">
        <f>IFERROR(F19/F18,"N.A.")</f>
        <v>N.A.</v>
      </c>
      <c r="G20" s="137">
        <f>IFERROR(G19/G18,0)</f>
        <v>0</v>
      </c>
      <c r="H20" s="5"/>
      <c r="I20" s="5"/>
      <c r="J20" s="5"/>
      <c r="K20" s="5"/>
      <c r="L20" s="13"/>
    </row>
    <row r="21" spans="2:12" x14ac:dyDescent="0.25">
      <c r="B21" s="1515"/>
      <c r="C21" s="91"/>
      <c r="D21" s="1414"/>
      <c r="E21" s="1415"/>
      <c r="F21" s="1415"/>
      <c r="G21" s="1415"/>
      <c r="H21" s="1415"/>
      <c r="I21" s="1415"/>
      <c r="J21" s="1415"/>
      <c r="K21" s="1415"/>
      <c r="L21" s="1517"/>
    </row>
    <row r="22" spans="2:12" x14ac:dyDescent="0.25">
      <c r="B22" s="1515"/>
      <c r="C22" s="91"/>
      <c r="D22" s="1411" t="s">
        <v>1116</v>
      </c>
      <c r="E22" s="1412"/>
      <c r="F22" s="1412"/>
      <c r="G22" s="1412"/>
      <c r="H22" s="1412"/>
      <c r="I22" s="1412"/>
      <c r="J22" s="1412"/>
      <c r="K22" s="1412"/>
      <c r="L22" s="1518"/>
    </row>
    <row r="23" spans="2:12" x14ac:dyDescent="0.25">
      <c r="B23" s="1515"/>
      <c r="C23" s="91"/>
      <c r="D23" s="1411" t="s">
        <v>1371</v>
      </c>
      <c r="E23" s="1412"/>
      <c r="F23" s="1412"/>
      <c r="G23" s="1412"/>
      <c r="H23" s="1412"/>
      <c r="I23" s="1412"/>
      <c r="J23" s="1412"/>
      <c r="K23" s="1412"/>
      <c r="L23" s="1518"/>
    </row>
    <row r="24" spans="2:12" ht="15.75" thickBot="1" x14ac:dyDescent="0.3">
      <c r="B24" s="1515"/>
      <c r="C24" s="91"/>
      <c r="D24" s="1438" t="s">
        <v>1196</v>
      </c>
      <c r="E24" s="1439"/>
      <c r="F24" s="1439"/>
      <c r="G24" s="1439"/>
      <c r="H24" s="1439"/>
      <c r="I24" s="1439"/>
      <c r="J24" s="1439"/>
      <c r="K24" s="1439"/>
      <c r="L24" s="1519"/>
    </row>
    <row r="25" spans="2:12" ht="15.6" customHeight="1" x14ac:dyDescent="0.25">
      <c r="B25" s="216"/>
      <c r="C25" s="1522" t="s">
        <v>842</v>
      </c>
      <c r="D25" s="1520" t="s">
        <v>1118</v>
      </c>
      <c r="E25" s="1520" t="s">
        <v>1372</v>
      </c>
      <c r="F25" s="1520" t="s">
        <v>1248</v>
      </c>
      <c r="G25" s="1520" t="s">
        <v>1373</v>
      </c>
      <c r="H25" s="72" t="s">
        <v>1374</v>
      </c>
      <c r="I25" s="72" t="s">
        <v>1375</v>
      </c>
      <c r="J25" s="1520" t="s">
        <v>1122</v>
      </c>
      <c r="K25" s="1520" t="s">
        <v>1123</v>
      </c>
      <c r="L25" s="1520" t="s">
        <v>846</v>
      </c>
    </row>
    <row r="26" spans="2:12" ht="15.75" thickBot="1" x14ac:dyDescent="0.3">
      <c r="B26" s="216"/>
      <c r="C26" s="1523"/>
      <c r="D26" s="1521"/>
      <c r="E26" s="1521"/>
      <c r="F26" s="1521"/>
      <c r="G26" s="1521"/>
      <c r="H26" s="64" t="s">
        <v>1376</v>
      </c>
      <c r="I26" s="64" t="s">
        <v>1377</v>
      </c>
      <c r="J26" s="1521"/>
      <c r="K26" s="1521"/>
      <c r="L26" s="1521"/>
    </row>
    <row r="27" spans="2:12" ht="15.75" thickBot="1" x14ac:dyDescent="0.3">
      <c r="B27" s="216"/>
      <c r="C27" s="90"/>
      <c r="D27" s="30"/>
      <c r="E27" s="30"/>
      <c r="F27" s="30"/>
      <c r="G27" s="30"/>
      <c r="H27" s="206"/>
      <c r="I27" s="206"/>
      <c r="J27" s="206"/>
      <c r="K27" s="206"/>
      <c r="L27" s="206"/>
    </row>
    <row r="28" spans="2:12" ht="15.75" thickBot="1" x14ac:dyDescent="0.3">
      <c r="B28" s="216"/>
      <c r="C28" s="90"/>
      <c r="D28" s="30"/>
      <c r="E28" s="30"/>
      <c r="F28" s="30"/>
      <c r="G28" s="30"/>
      <c r="H28" s="206"/>
      <c r="I28" s="206"/>
      <c r="J28" s="206"/>
      <c r="K28" s="206"/>
      <c r="L28" s="206"/>
    </row>
    <row r="29" spans="2:12" ht="15.75" thickBot="1" x14ac:dyDescent="0.3">
      <c r="B29" s="216"/>
      <c r="C29" s="90"/>
      <c r="D29" s="30"/>
      <c r="E29" s="30"/>
      <c r="F29" s="30"/>
      <c r="G29" s="30"/>
      <c r="H29" s="206"/>
      <c r="I29" s="206"/>
      <c r="J29" s="206"/>
      <c r="K29" s="206"/>
      <c r="L29" s="206"/>
    </row>
    <row r="30" spans="2:12" ht="15.75" thickBot="1" x14ac:dyDescent="0.3">
      <c r="B30" s="216"/>
      <c r="C30" s="90"/>
      <c r="D30" s="30"/>
      <c r="E30" s="30"/>
      <c r="F30" s="30"/>
      <c r="G30" s="30"/>
      <c r="H30" s="206"/>
      <c r="I30" s="206"/>
      <c r="J30" s="206"/>
      <c r="K30" s="206"/>
      <c r="L30" s="206"/>
    </row>
    <row r="31" spans="2:12" ht="15.75" thickBot="1" x14ac:dyDescent="0.3">
      <c r="B31" s="216"/>
      <c r="C31" s="90"/>
      <c r="D31" s="30"/>
      <c r="E31" s="30"/>
      <c r="F31" s="30"/>
      <c r="G31" s="30"/>
      <c r="H31" s="206"/>
      <c r="I31" s="206"/>
      <c r="J31" s="206"/>
      <c r="K31" s="206"/>
      <c r="L31" s="206"/>
    </row>
    <row r="32" spans="2:12" ht="15.75" thickBot="1" x14ac:dyDescent="0.3">
      <c r="B32" s="46"/>
      <c r="C32" s="109"/>
      <c r="D32" s="39" t="s">
        <v>1016</v>
      </c>
      <c r="E32" s="26"/>
      <c r="F32" s="26"/>
      <c r="G32" s="26"/>
      <c r="H32" s="135">
        <f>SUM(H27:H31)</f>
        <v>0</v>
      </c>
      <c r="I32" s="135">
        <f>SUM(I27:I31)</f>
        <v>0</v>
      </c>
      <c r="J32" s="135">
        <f>SUM(J27:J31)</f>
        <v>0</v>
      </c>
      <c r="K32" s="135">
        <f>SUM(K27:K31)</f>
        <v>0</v>
      </c>
      <c r="L32" s="12"/>
    </row>
    <row r="33" spans="2:12" ht="24" customHeight="1" thickBot="1" x14ac:dyDescent="0.3">
      <c r="B33" s="71" t="s">
        <v>924</v>
      </c>
      <c r="C33" s="106"/>
      <c r="D33" s="1435" t="s">
        <v>1378</v>
      </c>
      <c r="E33" s="1436"/>
      <c r="F33" s="1436"/>
      <c r="G33" s="1436"/>
      <c r="H33" s="1436"/>
      <c r="I33" s="1436"/>
      <c r="J33" s="1436"/>
      <c r="K33" s="1436"/>
      <c r="L33" s="1530"/>
    </row>
    <row r="34" spans="2:12" ht="24" customHeight="1" thickBot="1" x14ac:dyDescent="0.3">
      <c r="B34" s="71" t="s">
        <v>926</v>
      </c>
      <c r="C34" s="106"/>
      <c r="D34" s="1435" t="s">
        <v>1202</v>
      </c>
      <c r="E34" s="1436"/>
      <c r="F34" s="1436"/>
      <c r="G34" s="1436"/>
      <c r="H34" s="1436"/>
      <c r="I34" s="1436"/>
      <c r="J34" s="1436"/>
      <c r="K34" s="1436"/>
      <c r="L34" s="1530"/>
    </row>
    <row r="35" spans="2:12" ht="15.75" thickBot="1" x14ac:dyDescent="0.3">
      <c r="B35" s="1"/>
      <c r="C35" s="75"/>
      <c r="D35" s="5"/>
      <c r="E35" s="5"/>
      <c r="F35" s="5"/>
      <c r="G35" s="5"/>
      <c r="H35" s="5"/>
      <c r="I35" s="5"/>
      <c r="J35" s="5"/>
      <c r="K35" s="5"/>
    </row>
    <row r="36" spans="2:12" ht="24" customHeight="1" thickBot="1" x14ac:dyDescent="0.3">
      <c r="B36" s="1426" t="s">
        <v>928</v>
      </c>
      <c r="C36" s="1427"/>
      <c r="D36" s="1427"/>
      <c r="E36" s="1428"/>
      <c r="F36" s="5"/>
      <c r="G36" s="5"/>
      <c r="H36" s="5"/>
      <c r="I36" s="5"/>
      <c r="J36" s="5"/>
      <c r="K36" s="5"/>
    </row>
    <row r="37" spans="2:12" ht="15.75" thickBot="1" x14ac:dyDescent="0.3">
      <c r="B37" s="1423">
        <v>1</v>
      </c>
      <c r="C37" s="93"/>
      <c r="D37" s="47" t="s">
        <v>929</v>
      </c>
      <c r="E37" s="30" t="s">
        <v>2093</v>
      </c>
      <c r="F37" s="5"/>
      <c r="G37" s="5"/>
      <c r="H37" s="5"/>
      <c r="I37" s="5"/>
      <c r="J37" s="5"/>
      <c r="K37" s="5"/>
    </row>
    <row r="38" spans="2:12" ht="15.75" thickBot="1" x14ac:dyDescent="0.3">
      <c r="B38" s="1424"/>
      <c r="C38" s="93"/>
      <c r="D38" s="40" t="s">
        <v>7</v>
      </c>
      <c r="E38" s="30" t="s">
        <v>2098</v>
      </c>
      <c r="F38" s="5"/>
      <c r="G38" s="5"/>
      <c r="H38" s="5"/>
      <c r="I38" s="5"/>
      <c r="J38" s="5"/>
      <c r="K38" s="5"/>
    </row>
    <row r="39" spans="2:12" ht="15.75" thickBot="1" x14ac:dyDescent="0.3">
      <c r="B39" s="1424"/>
      <c r="C39" s="93"/>
      <c r="D39" s="40" t="s">
        <v>930</v>
      </c>
      <c r="E39" s="30" t="s">
        <v>2109</v>
      </c>
      <c r="F39" s="5"/>
      <c r="G39" s="5"/>
      <c r="H39" s="5"/>
      <c r="I39" s="5"/>
      <c r="J39" s="5"/>
      <c r="K39" s="5"/>
    </row>
    <row r="40" spans="2:12" ht="15.75" thickBot="1" x14ac:dyDescent="0.3">
      <c r="B40" s="1424"/>
      <c r="C40" s="93"/>
      <c r="D40" s="40" t="s">
        <v>9</v>
      </c>
      <c r="E40" s="30" t="s">
        <v>2095</v>
      </c>
      <c r="F40" s="5"/>
      <c r="G40" s="5"/>
      <c r="H40" s="5"/>
      <c r="I40" s="5"/>
      <c r="J40" s="5"/>
      <c r="K40" s="5"/>
    </row>
    <row r="41" spans="2:12" ht="15.75" thickBot="1" x14ac:dyDescent="0.3">
      <c r="B41" s="1424"/>
      <c r="C41" s="93"/>
      <c r="D41" s="40" t="s">
        <v>11</v>
      </c>
      <c r="E41" s="30" t="s">
        <v>2110</v>
      </c>
      <c r="F41" s="5"/>
      <c r="G41" s="5"/>
      <c r="H41" s="5"/>
      <c r="I41" s="5"/>
      <c r="J41" s="5"/>
      <c r="K41" s="5"/>
    </row>
    <row r="42" spans="2:12" ht="15.75" thickBot="1" x14ac:dyDescent="0.3">
      <c r="B42" s="1424"/>
      <c r="C42" s="93"/>
      <c r="D42" s="40" t="s">
        <v>13</v>
      </c>
      <c r="E42" s="30">
        <v>6695278</v>
      </c>
      <c r="F42" s="5"/>
      <c r="G42" s="5"/>
      <c r="H42" s="5"/>
      <c r="I42" s="5"/>
      <c r="J42" s="5"/>
      <c r="K42" s="5"/>
    </row>
    <row r="43" spans="2:12" ht="15.75" thickBot="1" x14ac:dyDescent="0.3">
      <c r="B43" s="1425"/>
      <c r="C43" s="2"/>
      <c r="D43" s="40" t="s">
        <v>931</v>
      </c>
      <c r="E43" s="30" t="s">
        <v>2097</v>
      </c>
      <c r="F43" s="5"/>
      <c r="G43" s="5"/>
      <c r="H43" s="5"/>
      <c r="I43" s="5"/>
      <c r="J43" s="5"/>
      <c r="K43" s="5"/>
    </row>
    <row r="44" spans="2:12" ht="15.75" thickBot="1" x14ac:dyDescent="0.3">
      <c r="B44" s="1"/>
      <c r="C44" s="75"/>
      <c r="D44" s="5"/>
      <c r="E44" s="5"/>
      <c r="F44" s="5"/>
      <c r="G44" s="5"/>
      <c r="H44" s="5"/>
      <c r="I44" s="5"/>
      <c r="J44" s="5"/>
      <c r="K44" s="5"/>
    </row>
    <row r="45" spans="2:12" ht="15.75" thickBot="1" x14ac:dyDescent="0.3">
      <c r="B45" s="1426" t="s">
        <v>932</v>
      </c>
      <c r="C45" s="1427"/>
      <c r="D45" s="1427"/>
      <c r="E45" s="1428"/>
      <c r="F45" s="5"/>
      <c r="G45" s="5"/>
      <c r="H45" s="5"/>
      <c r="I45" s="5"/>
      <c r="J45" s="5"/>
      <c r="K45" s="5"/>
    </row>
    <row r="46" spans="2:12" ht="15.75" thickBot="1" x14ac:dyDescent="0.3">
      <c r="B46" s="1423">
        <v>1</v>
      </c>
      <c r="C46" s="93"/>
      <c r="D46" s="47" t="s">
        <v>929</v>
      </c>
      <c r="E46" s="217" t="s">
        <v>933</v>
      </c>
      <c r="F46" s="5"/>
      <c r="G46" s="5"/>
      <c r="H46" s="5"/>
      <c r="I46" s="5"/>
      <c r="J46" s="5"/>
      <c r="K46" s="5"/>
    </row>
    <row r="47" spans="2:12" ht="15.75" thickBot="1" x14ac:dyDescent="0.3">
      <c r="B47" s="1424"/>
      <c r="C47" s="93"/>
      <c r="D47" s="40" t="s">
        <v>7</v>
      </c>
      <c r="E47" s="217" t="s">
        <v>934</v>
      </c>
      <c r="F47" s="5"/>
      <c r="G47" s="5"/>
      <c r="H47" s="5"/>
      <c r="I47" s="5"/>
      <c r="J47" s="5"/>
      <c r="K47" s="5"/>
    </row>
    <row r="48" spans="2:12" ht="15.75" thickBot="1" x14ac:dyDescent="0.3">
      <c r="B48" s="1424"/>
      <c r="C48" s="93"/>
      <c r="D48" s="40" t="s">
        <v>930</v>
      </c>
      <c r="E48" s="237"/>
      <c r="F48" s="5"/>
      <c r="G48" s="5"/>
      <c r="H48" s="5"/>
      <c r="I48" s="5"/>
      <c r="J48" s="5"/>
      <c r="K48" s="5"/>
    </row>
    <row r="49" spans="2:11" ht="15.75" thickBot="1" x14ac:dyDescent="0.3">
      <c r="B49" s="1424"/>
      <c r="C49" s="93"/>
      <c r="D49" s="40" t="s">
        <v>9</v>
      </c>
      <c r="E49" s="237"/>
      <c r="F49" s="5"/>
      <c r="G49" s="5"/>
      <c r="H49" s="5"/>
      <c r="I49" s="5"/>
      <c r="J49" s="5"/>
      <c r="K49" s="5"/>
    </row>
    <row r="50" spans="2:11" ht="15.75" thickBot="1" x14ac:dyDescent="0.3">
      <c r="B50" s="1424"/>
      <c r="C50" s="93"/>
      <c r="D50" s="40" t="s">
        <v>11</v>
      </c>
      <c r="E50" s="237"/>
      <c r="F50" s="5"/>
      <c r="G50" s="5"/>
      <c r="H50" s="5"/>
      <c r="I50" s="5"/>
      <c r="J50" s="5"/>
      <c r="K50" s="5"/>
    </row>
    <row r="51" spans="2:11" ht="15.75" thickBot="1" x14ac:dyDescent="0.3">
      <c r="B51" s="1424"/>
      <c r="C51" s="93"/>
      <c r="D51" s="40" t="s">
        <v>13</v>
      </c>
      <c r="E51" s="237"/>
      <c r="F51" s="5"/>
      <c r="G51" s="5"/>
      <c r="H51" s="5"/>
      <c r="I51" s="5"/>
      <c r="J51" s="5"/>
      <c r="K51" s="5"/>
    </row>
    <row r="52" spans="2:11" ht="15.75" thickBot="1" x14ac:dyDescent="0.3">
      <c r="B52" s="1425"/>
      <c r="C52" s="2"/>
      <c r="D52" s="40" t="s">
        <v>931</v>
      </c>
      <c r="E52" s="237"/>
      <c r="F52" s="5"/>
      <c r="G52" s="5"/>
      <c r="H52" s="5"/>
      <c r="I52" s="5"/>
      <c r="J52" s="5"/>
      <c r="K52" s="5"/>
    </row>
    <row r="53" spans="2:11" ht="15.75" thickBot="1" x14ac:dyDescent="0.3">
      <c r="B53" s="1"/>
      <c r="C53" s="75"/>
      <c r="D53" s="5"/>
      <c r="E53" s="5"/>
      <c r="F53" s="5"/>
      <c r="G53" s="5"/>
      <c r="H53" s="5"/>
      <c r="I53" s="5"/>
      <c r="J53" s="5"/>
      <c r="K53" s="5"/>
    </row>
    <row r="54" spans="2:11" ht="15" customHeight="1" thickBot="1" x14ac:dyDescent="0.3">
      <c r="B54" s="121" t="s">
        <v>935</v>
      </c>
      <c r="C54" s="122"/>
      <c r="D54" s="122"/>
      <c r="E54" s="123"/>
      <c r="F54" s="5"/>
      <c r="G54" s="5"/>
      <c r="H54" s="5"/>
      <c r="I54" s="5"/>
      <c r="J54" s="5"/>
      <c r="K54" s="5"/>
    </row>
    <row r="55" spans="2:11" ht="24.75" thickBot="1" x14ac:dyDescent="0.3">
      <c r="B55" s="46" t="s">
        <v>936</v>
      </c>
      <c r="C55" s="40" t="s">
        <v>937</v>
      </c>
      <c r="D55" s="40" t="s">
        <v>938</v>
      </c>
      <c r="E55" s="40" t="s">
        <v>939</v>
      </c>
      <c r="F55" s="5"/>
      <c r="G55" s="5"/>
      <c r="H55" s="5"/>
      <c r="I55" s="5"/>
      <c r="J55" s="5"/>
    </row>
    <row r="56" spans="2:11" ht="72.75" thickBot="1" x14ac:dyDescent="0.3">
      <c r="B56" s="48">
        <v>42401</v>
      </c>
      <c r="C56" s="40">
        <v>0.01</v>
      </c>
      <c r="D56" s="49" t="s">
        <v>1379</v>
      </c>
      <c r="E56" s="40"/>
      <c r="F56" s="5"/>
      <c r="G56" s="5"/>
      <c r="H56" s="5"/>
      <c r="I56" s="5"/>
      <c r="J56" s="5"/>
    </row>
    <row r="57" spans="2:11" ht="15.75" thickBot="1" x14ac:dyDescent="0.3">
      <c r="B57" s="1"/>
      <c r="C57" s="75"/>
      <c r="D57" s="5"/>
      <c r="E57" s="5"/>
      <c r="F57" s="5"/>
      <c r="G57" s="5"/>
      <c r="H57" s="5"/>
      <c r="I57" s="5"/>
      <c r="J57" s="5"/>
      <c r="K57" s="5"/>
    </row>
    <row r="58" spans="2:11" x14ac:dyDescent="0.25">
      <c r="B58" s="128" t="s">
        <v>846</v>
      </c>
      <c r="C58" s="95"/>
      <c r="D58" s="5"/>
      <c r="E58" s="5"/>
      <c r="F58" s="5"/>
      <c r="G58" s="5"/>
      <c r="H58" s="5"/>
      <c r="I58" s="5"/>
      <c r="J58" s="5"/>
      <c r="K58" s="5"/>
    </row>
    <row r="59" spans="2:11" ht="14.45" customHeight="1" x14ac:dyDescent="0.25">
      <c r="B59" s="1524" t="s">
        <v>1380</v>
      </c>
      <c r="C59" s="1525"/>
      <c r="D59" s="1525"/>
      <c r="E59" s="1525"/>
      <c r="F59" s="1525"/>
      <c r="G59" s="1526"/>
      <c r="H59" s="5"/>
      <c r="I59" s="5"/>
      <c r="J59" s="5"/>
      <c r="K59" s="5"/>
    </row>
    <row r="60" spans="2:11" x14ac:dyDescent="0.25">
      <c r="B60" s="1527"/>
      <c r="C60" s="1528"/>
      <c r="D60" s="1528"/>
      <c r="E60" s="1528"/>
      <c r="F60" s="1528"/>
      <c r="G60" s="1529"/>
      <c r="H60" s="5"/>
      <c r="I60" s="5"/>
      <c r="J60" s="5"/>
      <c r="K60" s="5"/>
    </row>
    <row r="61" spans="2:11" x14ac:dyDescent="0.25">
      <c r="B61" s="161"/>
      <c r="C61" s="162"/>
      <c r="D61" s="162"/>
      <c r="E61" s="162"/>
      <c r="F61" s="162"/>
      <c r="G61" s="163"/>
      <c r="H61" s="5"/>
      <c r="I61" s="5"/>
      <c r="J61" s="5"/>
      <c r="K61" s="5"/>
    </row>
    <row r="62" spans="2:11" ht="15.75" thickBot="1" x14ac:dyDescent="0.3">
      <c r="B62" s="5"/>
      <c r="D62" s="5"/>
      <c r="E62" s="5"/>
      <c r="F62" s="5"/>
      <c r="G62" s="5"/>
      <c r="H62" s="5"/>
      <c r="I62" s="5"/>
      <c r="J62" s="5"/>
      <c r="K62" s="5"/>
    </row>
    <row r="63" spans="2:11" ht="15.75" thickBot="1" x14ac:dyDescent="0.3">
      <c r="B63" s="1426" t="s">
        <v>1381</v>
      </c>
      <c r="C63" s="1427"/>
      <c r="D63" s="1428"/>
      <c r="E63" s="5"/>
      <c r="F63" s="5"/>
      <c r="G63" s="5"/>
      <c r="H63" s="5"/>
      <c r="I63" s="5"/>
      <c r="J63" s="5"/>
      <c r="K63" s="5"/>
    </row>
    <row r="64" spans="2:11" ht="108.75" thickBot="1" x14ac:dyDescent="0.3">
      <c r="B64" s="46" t="s">
        <v>942</v>
      </c>
      <c r="C64" s="2"/>
      <c r="D64" s="40" t="s">
        <v>1382</v>
      </c>
      <c r="E64" s="5"/>
      <c r="F64" s="5"/>
      <c r="G64" s="5"/>
      <c r="H64" s="5"/>
      <c r="I64" s="5"/>
      <c r="J64" s="5"/>
      <c r="K64" s="5"/>
    </row>
    <row r="65" spans="2:11" x14ac:dyDescent="0.25">
      <c r="B65" s="1423" t="s">
        <v>944</v>
      </c>
      <c r="C65" s="93"/>
      <c r="D65" s="52" t="s">
        <v>945</v>
      </c>
      <c r="E65" s="5"/>
      <c r="F65" s="5"/>
      <c r="G65" s="5"/>
      <c r="H65" s="5"/>
      <c r="I65" s="5"/>
      <c r="J65" s="5"/>
      <c r="K65" s="5"/>
    </row>
    <row r="66" spans="2:11" ht="120" x14ac:dyDescent="0.25">
      <c r="B66" s="1424"/>
      <c r="C66" s="93"/>
      <c r="D66" s="45" t="s">
        <v>1383</v>
      </c>
      <c r="E66" s="5"/>
      <c r="F66" s="5"/>
      <c r="G66" s="5"/>
      <c r="H66" s="5"/>
      <c r="I66" s="5"/>
      <c r="J66" s="5"/>
      <c r="K66" s="5"/>
    </row>
    <row r="67" spans="2:11" x14ac:dyDescent="0.25">
      <c r="B67" s="1424"/>
      <c r="C67" s="93"/>
      <c r="D67" s="52" t="s">
        <v>948</v>
      </c>
      <c r="E67" s="5"/>
      <c r="F67" s="5"/>
      <c r="G67" s="5"/>
      <c r="H67" s="5"/>
      <c r="I67" s="5"/>
      <c r="J67" s="5"/>
      <c r="K67" s="5"/>
    </row>
    <row r="68" spans="2:11" x14ac:dyDescent="0.25">
      <c r="B68" s="1424"/>
      <c r="C68" s="93"/>
      <c r="D68" s="45" t="s">
        <v>950</v>
      </c>
      <c r="E68" s="5"/>
      <c r="F68" s="5"/>
      <c r="G68" s="5"/>
      <c r="H68" s="5"/>
      <c r="I68" s="5"/>
      <c r="J68" s="5"/>
      <c r="K68" s="5"/>
    </row>
    <row r="69" spans="2:11" x14ac:dyDescent="0.25">
      <c r="B69" s="1424"/>
      <c r="C69" s="93"/>
      <c r="D69" s="52" t="s">
        <v>1172</v>
      </c>
      <c r="E69" s="5"/>
      <c r="F69" s="5"/>
      <c r="G69" s="5"/>
      <c r="H69" s="5"/>
      <c r="I69" s="5"/>
      <c r="J69" s="5"/>
      <c r="K69" s="5"/>
    </row>
    <row r="70" spans="2:11" ht="36.75" thickBot="1" x14ac:dyDescent="0.3">
      <c r="B70" s="1425"/>
      <c r="C70" s="2"/>
      <c r="D70" s="40" t="s">
        <v>1384</v>
      </c>
      <c r="E70" s="5"/>
      <c r="F70" s="5"/>
      <c r="G70" s="5"/>
      <c r="H70" s="5"/>
      <c r="I70" s="5"/>
      <c r="J70" s="5"/>
      <c r="K70" s="5"/>
    </row>
    <row r="71" spans="2:11" x14ac:dyDescent="0.25">
      <c r="B71" s="1423" t="s">
        <v>957</v>
      </c>
      <c r="C71" s="98"/>
      <c r="D71" s="1423"/>
      <c r="E71" s="5"/>
      <c r="F71" s="5"/>
      <c r="G71" s="5"/>
      <c r="H71" s="5"/>
      <c r="I71" s="5"/>
      <c r="J71" s="5"/>
      <c r="K71" s="5"/>
    </row>
    <row r="72" spans="2:11" ht="15.75" thickBot="1" x14ac:dyDescent="0.3">
      <c r="B72" s="1425"/>
      <c r="C72" s="99"/>
      <c r="D72" s="1425"/>
      <c r="E72" s="5"/>
      <c r="F72" s="5"/>
      <c r="G72" s="5"/>
      <c r="H72" s="5"/>
      <c r="I72" s="5"/>
      <c r="J72" s="5"/>
      <c r="K72" s="5"/>
    </row>
    <row r="73" spans="2:11" ht="108" x14ac:dyDescent="0.25">
      <c r="B73" s="1423" t="s">
        <v>958</v>
      </c>
      <c r="C73" s="93"/>
      <c r="D73" s="45" t="s">
        <v>1272</v>
      </c>
      <c r="E73" s="5"/>
      <c r="F73" s="5"/>
      <c r="G73" s="5"/>
      <c r="H73" s="5"/>
      <c r="I73" s="5"/>
      <c r="J73" s="5"/>
      <c r="K73" s="5"/>
    </row>
    <row r="74" spans="2:11" ht="144" x14ac:dyDescent="0.25">
      <c r="B74" s="1424"/>
      <c r="C74" s="93"/>
      <c r="D74" s="45" t="s">
        <v>1273</v>
      </c>
      <c r="E74" s="5"/>
      <c r="F74" s="5"/>
      <c r="G74" s="5"/>
      <c r="H74" s="5"/>
      <c r="I74" s="5"/>
      <c r="J74" s="5"/>
      <c r="K74" s="5"/>
    </row>
    <row r="75" spans="2:11" ht="72" x14ac:dyDescent="0.25">
      <c r="B75" s="1424"/>
      <c r="C75" s="93"/>
      <c r="D75" s="45" t="s">
        <v>1275</v>
      </c>
      <c r="E75" s="5"/>
      <c r="F75" s="5"/>
      <c r="G75" s="5"/>
      <c r="H75" s="5"/>
      <c r="I75" s="5"/>
      <c r="J75" s="5"/>
      <c r="K75" s="5"/>
    </row>
    <row r="76" spans="2:11" ht="36" x14ac:dyDescent="0.25">
      <c r="B76" s="1424"/>
      <c r="C76" s="93"/>
      <c r="D76" s="45" t="s">
        <v>1385</v>
      </c>
      <c r="E76" s="5"/>
      <c r="F76" s="5"/>
      <c r="G76" s="5"/>
      <c r="H76" s="5"/>
      <c r="I76" s="5"/>
      <c r="J76" s="5"/>
      <c r="K76" s="5"/>
    </row>
    <row r="77" spans="2:11" ht="192.75" thickBot="1" x14ac:dyDescent="0.3">
      <c r="B77" s="1425"/>
      <c r="C77" s="2"/>
      <c r="D77" s="40" t="s">
        <v>1386</v>
      </c>
      <c r="E77" s="5"/>
      <c r="F77" s="5"/>
      <c r="G77" s="5"/>
      <c r="H77" s="5"/>
      <c r="I77" s="5"/>
      <c r="J77" s="5"/>
      <c r="K77" s="5"/>
    </row>
    <row r="78" spans="2:11" ht="24" x14ac:dyDescent="0.25">
      <c r="B78" s="1423" t="s">
        <v>975</v>
      </c>
      <c r="C78" s="93"/>
      <c r="D78" s="52" t="s">
        <v>1387</v>
      </c>
      <c r="E78" s="5"/>
      <c r="F78" s="5"/>
      <c r="G78" s="5"/>
      <c r="H78" s="5"/>
      <c r="I78" s="5"/>
      <c r="J78" s="5"/>
      <c r="K78" s="5"/>
    </row>
    <row r="79" spans="2:11" x14ac:dyDescent="0.25">
      <c r="B79" s="1424"/>
      <c r="C79" s="93"/>
      <c r="D79" s="16"/>
      <c r="E79" s="5"/>
      <c r="F79" s="5"/>
      <c r="G79" s="5"/>
      <c r="H79" s="5"/>
      <c r="I79" s="5"/>
      <c r="J79" s="5"/>
      <c r="K79" s="5"/>
    </row>
    <row r="80" spans="2:11" x14ac:dyDescent="0.25">
      <c r="B80" s="1424"/>
      <c r="C80" s="93"/>
      <c r="D80" s="45" t="s">
        <v>976</v>
      </c>
      <c r="E80" s="5"/>
      <c r="F80" s="5"/>
      <c r="G80" s="5"/>
      <c r="H80" s="5"/>
      <c r="I80" s="5"/>
      <c r="J80" s="5"/>
      <c r="K80" s="5"/>
    </row>
    <row r="81" spans="2:11" ht="37.5" x14ac:dyDescent="0.25">
      <c r="B81" s="1424"/>
      <c r="C81" s="93"/>
      <c r="D81" s="45" t="s">
        <v>1388</v>
      </c>
      <c r="E81" s="5"/>
      <c r="F81" s="5"/>
      <c r="G81" s="5"/>
      <c r="H81" s="5"/>
      <c r="I81" s="5"/>
      <c r="J81" s="5"/>
      <c r="K81" s="5"/>
    </row>
    <row r="82" spans="2:11" ht="37.5" x14ac:dyDescent="0.25">
      <c r="B82" s="1424"/>
      <c r="C82" s="93"/>
      <c r="D82" s="45" t="s">
        <v>1389</v>
      </c>
      <c r="E82" s="5"/>
      <c r="F82" s="5"/>
      <c r="G82" s="5"/>
      <c r="H82" s="5"/>
      <c r="I82" s="5"/>
      <c r="J82" s="5"/>
      <c r="K82" s="5"/>
    </row>
    <row r="83" spans="2:11" ht="49.5" x14ac:dyDescent="0.25">
      <c r="B83" s="1424"/>
      <c r="C83" s="93"/>
      <c r="D83" s="45" t="s">
        <v>1390</v>
      </c>
      <c r="E83" s="5"/>
      <c r="F83" s="5"/>
      <c r="G83" s="5"/>
      <c r="H83" s="5"/>
      <c r="I83" s="5"/>
      <c r="J83" s="5"/>
      <c r="K83" s="5"/>
    </row>
    <row r="84" spans="2:11" x14ac:dyDescent="0.25">
      <c r="B84" s="1424"/>
      <c r="C84" s="93"/>
      <c r="D84" s="52" t="s">
        <v>1116</v>
      </c>
      <c r="E84" s="5"/>
      <c r="F84" s="5"/>
      <c r="G84" s="5"/>
      <c r="H84" s="5"/>
      <c r="I84" s="5"/>
      <c r="J84" s="5"/>
      <c r="K84" s="5"/>
    </row>
    <row r="85" spans="2:11" ht="24" x14ac:dyDescent="0.25">
      <c r="B85" s="1424"/>
      <c r="C85" s="93"/>
      <c r="D85" s="52" t="s">
        <v>1391</v>
      </c>
      <c r="E85" s="5"/>
      <c r="F85" s="5"/>
      <c r="G85" s="5"/>
      <c r="H85" s="5"/>
      <c r="I85" s="5"/>
      <c r="J85" s="5"/>
      <c r="K85" s="5"/>
    </row>
    <row r="86" spans="2:11" x14ac:dyDescent="0.25">
      <c r="B86" s="1424"/>
      <c r="C86" s="93"/>
      <c r="D86" s="16"/>
      <c r="E86" s="5"/>
      <c r="F86" s="5"/>
      <c r="G86" s="5"/>
      <c r="H86" s="5"/>
      <c r="I86" s="5"/>
      <c r="J86" s="5"/>
      <c r="K86" s="5"/>
    </row>
    <row r="87" spans="2:11" x14ac:dyDescent="0.25">
      <c r="B87" s="1424"/>
      <c r="C87" s="93"/>
      <c r="D87" s="45" t="s">
        <v>976</v>
      </c>
      <c r="E87" s="5"/>
      <c r="F87" s="5"/>
      <c r="G87" s="5"/>
      <c r="H87" s="5"/>
      <c r="I87" s="5"/>
      <c r="J87" s="5"/>
      <c r="K87" s="5"/>
    </row>
    <row r="88" spans="2:11" ht="61.5" x14ac:dyDescent="0.25">
      <c r="B88" s="1424"/>
      <c r="C88" s="93"/>
      <c r="D88" s="45" t="s">
        <v>1392</v>
      </c>
      <c r="E88" s="5"/>
      <c r="F88" s="5"/>
      <c r="G88" s="5"/>
      <c r="H88" s="5"/>
      <c r="I88" s="5"/>
      <c r="J88" s="5"/>
      <c r="K88" s="5"/>
    </row>
    <row r="89" spans="2:11" ht="38.25" thickBot="1" x14ac:dyDescent="0.3">
      <c r="B89" s="1425"/>
      <c r="C89" s="2"/>
      <c r="D89" s="40" t="s">
        <v>1393</v>
      </c>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sheetData>
  <mergeCells count="36">
    <mergeCell ref="A4:D4"/>
    <mergeCell ref="A1:L1"/>
    <mergeCell ref="A2:L2"/>
    <mergeCell ref="A3:L3"/>
    <mergeCell ref="A5:L5"/>
    <mergeCell ref="B46:B52"/>
    <mergeCell ref="D33:L33"/>
    <mergeCell ref="D34:L34"/>
    <mergeCell ref="B36:E36"/>
    <mergeCell ref="B37:B43"/>
    <mergeCell ref="B45:E45"/>
    <mergeCell ref="B59:G60"/>
    <mergeCell ref="B78:B89"/>
    <mergeCell ref="B63:D63"/>
    <mergeCell ref="B65:B70"/>
    <mergeCell ref="B71:B72"/>
    <mergeCell ref="D71:D72"/>
    <mergeCell ref="B73:B77"/>
    <mergeCell ref="L25:L26"/>
    <mergeCell ref="C25:C26"/>
    <mergeCell ref="D25:D26"/>
    <mergeCell ref="E25:E26"/>
    <mergeCell ref="F25:F26"/>
    <mergeCell ref="G25:G26"/>
    <mergeCell ref="K25:K26"/>
    <mergeCell ref="J25:J26"/>
    <mergeCell ref="F10:I10"/>
    <mergeCell ref="B10:D10"/>
    <mergeCell ref="E12:L12"/>
    <mergeCell ref="E13:L13"/>
    <mergeCell ref="B15:B24"/>
    <mergeCell ref="D15:L15"/>
    <mergeCell ref="D21:L21"/>
    <mergeCell ref="D22:L22"/>
    <mergeCell ref="D23:L23"/>
    <mergeCell ref="D24:L24"/>
  </mergeCells>
  <conditionalFormatting sqref="F11:L11 S11">
    <cfRule type="expression" dxfId="82" priority="3">
      <formula>E11="NO SE REPORTA"</formula>
    </cfRule>
    <cfRule type="expression" dxfId="81" priority="4">
      <formula>E10="NO APLICA"</formula>
    </cfRule>
  </conditionalFormatting>
  <conditionalFormatting sqref="E12">
    <cfRule type="expression" dxfId="80" priority="2">
      <formula>E11="SI SE REPORTA"</formula>
    </cfRule>
  </conditionalFormatting>
  <conditionalFormatting sqref="F10">
    <cfRule type="notContainsBlanks" dxfId="79" priority="1">
      <formula>LEN(TRIM(F10))&gt;0</formula>
    </cfRule>
  </conditionalFormatting>
  <dataValidations count="4">
    <dataValidation type="whole" operator="greaterThanOrEqual" allowBlank="1" showErrorMessage="1" errorTitle="ERROR" error="Escriba un número igual o mayor que 0" promptTitle="ERROR" prompt="Escriba un número igual o mayor que 0" sqref="E17:F19">
      <formula1>0</formula1>
    </dataValidation>
    <dataValidation type="whole" operator="greaterThanOrEqual" allowBlank="1" showInputMessage="1" showErrorMessage="1" errorTitle="ERROR" error="Valor en PESOS (sin centavos)" sqref="H27:K3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U177"/>
  <sheetViews>
    <sheetView showGridLines="0" topLeftCell="B1" zoomScale="98" zoomScaleNormal="98" workbookViewId="0">
      <selection activeCell="E35" sqref="E35"/>
    </sheetView>
  </sheetViews>
  <sheetFormatPr baseColWidth="10" defaultColWidth="10.7109375" defaultRowHeight="15" x14ac:dyDescent="0.25"/>
  <cols>
    <col min="1" max="1" width="1.85546875" customWidth="1"/>
    <col min="2" max="2" width="10.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102</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2022</v>
      </c>
      <c r="D8" s="214">
        <f>IF(E10="NO APLICA","NO APLICA",IF(E11="NO SE REPORTA","SIN INFORMACION",+Q22))</f>
        <v>1</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554"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555"/>
      <c r="H10" s="555"/>
      <c r="I10" s="555"/>
      <c r="J10" s="555"/>
      <c r="K10" s="555"/>
      <c r="L10" s="555"/>
      <c r="M10" s="555"/>
      <c r="N10" s="555"/>
      <c r="O10" s="555"/>
      <c r="P10" s="555"/>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553" t="s">
        <v>886</v>
      </c>
      <c r="F11" s="556"/>
      <c r="G11" s="557"/>
      <c r="H11" s="557"/>
      <c r="I11" s="557"/>
      <c r="J11" s="557"/>
      <c r="K11" s="557"/>
      <c r="L11" s="557"/>
      <c r="M11" s="557"/>
      <c r="N11" s="557"/>
      <c r="O11" s="557"/>
      <c r="P11" s="557"/>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61" t="s">
        <v>2509</v>
      </c>
      <c r="F12" s="1461"/>
      <c r="G12" s="1461"/>
      <c r="H12" s="1461"/>
      <c r="I12" s="1461"/>
      <c r="J12" s="1461"/>
      <c r="K12" s="1461"/>
      <c r="L12" s="1461"/>
      <c r="M12" s="1461"/>
      <c r="N12" s="1461"/>
      <c r="O12" s="1461"/>
      <c r="P12" s="1461"/>
    </row>
    <row r="13" spans="1:21" ht="21.95" customHeight="1" x14ac:dyDescent="0.25">
      <c r="B13" s="356"/>
      <c r="C13" s="87"/>
      <c r="D13" s="171" t="s">
        <v>887</v>
      </c>
      <c r="E13" s="1457"/>
      <c r="F13" s="1457"/>
      <c r="G13" s="1457"/>
      <c r="H13" s="1457"/>
      <c r="I13" s="1457"/>
      <c r="J13" s="1457"/>
      <c r="K13" s="1457"/>
      <c r="L13" s="1457"/>
      <c r="M13" s="1457"/>
      <c r="N13" s="1457"/>
      <c r="O13" s="1457"/>
      <c r="P13" s="1457"/>
    </row>
    <row r="14" spans="1:21" ht="6.95" customHeight="1" thickBot="1" x14ac:dyDescent="0.3">
      <c r="B14" s="356"/>
      <c r="D14" s="5"/>
      <c r="E14" s="5"/>
      <c r="F14" s="5"/>
      <c r="G14" s="5"/>
      <c r="H14" s="5"/>
      <c r="I14" s="5"/>
      <c r="J14" s="5"/>
      <c r="K14" s="5"/>
    </row>
    <row r="15" spans="1:21" ht="15.75" thickBot="1" x14ac:dyDescent="0.3">
      <c r="B15" s="1520" t="s">
        <v>888</v>
      </c>
      <c r="C15" s="101"/>
      <c r="D15" s="1435" t="s">
        <v>1189</v>
      </c>
      <c r="E15" s="1436"/>
      <c r="F15" s="1436"/>
      <c r="G15" s="1436"/>
      <c r="H15" s="1436"/>
      <c r="I15" s="1436"/>
      <c r="J15" s="1436"/>
      <c r="K15" s="1436"/>
      <c r="L15" s="1538"/>
      <c r="M15" s="1538"/>
      <c r="N15" s="1538"/>
      <c r="O15" s="1538"/>
      <c r="P15" s="1530"/>
      <c r="Q15" s="1531" t="s">
        <v>1016</v>
      </c>
    </row>
    <row r="16" spans="1:21" ht="15.75" thickBot="1" x14ac:dyDescent="0.3">
      <c r="B16" s="1537"/>
      <c r="C16" s="107"/>
      <c r="D16" s="1410" t="s">
        <v>1015</v>
      </c>
      <c r="E16" s="1534" t="s">
        <v>1394</v>
      </c>
      <c r="F16" s="1535"/>
      <c r="G16" s="1535"/>
      <c r="H16" s="1535"/>
      <c r="I16" s="1535"/>
      <c r="J16" s="1536"/>
      <c r="K16" s="1534" t="s">
        <v>1395</v>
      </c>
      <c r="L16" s="1542"/>
      <c r="M16" s="1542"/>
      <c r="N16" s="1542"/>
      <c r="O16" s="1542"/>
      <c r="P16" s="1543"/>
      <c r="Q16" s="1544"/>
    </row>
    <row r="17" spans="2:17" ht="15.75" thickBot="1" x14ac:dyDescent="0.3">
      <c r="B17" s="1537"/>
      <c r="C17" s="107"/>
      <c r="D17" s="1416"/>
      <c r="E17" s="1534" t="s">
        <v>1396</v>
      </c>
      <c r="F17" s="1535"/>
      <c r="G17" s="1536"/>
      <c r="H17" s="1534" t="s">
        <v>1397</v>
      </c>
      <c r="I17" s="1535"/>
      <c r="J17" s="1536"/>
      <c r="K17" s="1534" t="s">
        <v>1396</v>
      </c>
      <c r="L17" s="1542"/>
      <c r="M17" s="1543"/>
      <c r="N17" s="1547" t="s">
        <v>1397</v>
      </c>
      <c r="O17" s="1542"/>
      <c r="P17" s="1543"/>
      <c r="Q17" s="1544"/>
    </row>
    <row r="18" spans="2:17" ht="15.75" thickBot="1" x14ac:dyDescent="0.3">
      <c r="B18" s="1537"/>
      <c r="C18" s="107"/>
      <c r="D18" s="1533"/>
      <c r="E18" s="40" t="s">
        <v>1398</v>
      </c>
      <c r="F18" s="40" t="s">
        <v>1399</v>
      </c>
      <c r="G18" s="40" t="s">
        <v>1400</v>
      </c>
      <c r="H18" s="40" t="s">
        <v>1398</v>
      </c>
      <c r="I18" s="40" t="s">
        <v>1399</v>
      </c>
      <c r="J18" s="40" t="s">
        <v>1400</v>
      </c>
      <c r="K18" s="40" t="s">
        <v>1398</v>
      </c>
      <c r="L18" s="15" t="s">
        <v>1399</v>
      </c>
      <c r="M18" s="15" t="s">
        <v>1400</v>
      </c>
      <c r="N18" s="15" t="s">
        <v>1398</v>
      </c>
      <c r="O18" s="15" t="s">
        <v>1399</v>
      </c>
      <c r="P18" s="15" t="s">
        <v>1400</v>
      </c>
      <c r="Q18" s="1532"/>
    </row>
    <row r="19" spans="2:17" ht="24.75" thickBot="1" x14ac:dyDescent="0.3">
      <c r="B19" s="1537"/>
      <c r="C19" s="107"/>
      <c r="D19" s="40" t="s">
        <v>1401</v>
      </c>
      <c r="E19" s="6"/>
      <c r="F19" s="6"/>
      <c r="G19" s="6"/>
      <c r="H19" s="594">
        <v>1</v>
      </c>
      <c r="I19" s="594">
        <v>2</v>
      </c>
      <c r="J19" s="594">
        <v>4</v>
      </c>
      <c r="K19" s="566"/>
      <c r="L19" s="566"/>
      <c r="M19" s="566"/>
      <c r="N19" s="594">
        <v>1</v>
      </c>
      <c r="O19" s="594">
        <v>1</v>
      </c>
      <c r="P19" s="594">
        <v>0</v>
      </c>
      <c r="Q19" s="301">
        <f>SUM(E19:P19)</f>
        <v>9</v>
      </c>
    </row>
    <row r="20" spans="2:17" ht="36.75" thickBot="1" x14ac:dyDescent="0.3">
      <c r="B20" s="1537"/>
      <c r="C20" s="107"/>
      <c r="D20" s="40" t="s">
        <v>1402</v>
      </c>
      <c r="E20" s="6"/>
      <c r="F20" s="6"/>
      <c r="G20" s="6"/>
      <c r="H20" s="594">
        <v>0</v>
      </c>
      <c r="I20" s="594">
        <v>1</v>
      </c>
      <c r="J20" s="594">
        <v>0</v>
      </c>
      <c r="K20" s="566"/>
      <c r="L20" s="566"/>
      <c r="M20" s="566"/>
      <c r="N20" s="594">
        <v>0</v>
      </c>
      <c r="O20" s="594">
        <v>0</v>
      </c>
      <c r="P20" s="594">
        <v>0</v>
      </c>
      <c r="Q20" s="301">
        <f>SUM(E20:P20)</f>
        <v>1</v>
      </c>
    </row>
    <row r="21" spans="2:17" ht="36.75" thickBot="1" x14ac:dyDescent="0.3">
      <c r="B21" s="1537"/>
      <c r="C21" s="107"/>
      <c r="D21" s="40" t="s">
        <v>1403</v>
      </c>
      <c r="E21" s="6"/>
      <c r="F21" s="6"/>
      <c r="G21" s="6"/>
      <c r="H21" s="6">
        <v>0</v>
      </c>
      <c r="I21" s="6">
        <v>1</v>
      </c>
      <c r="J21" s="6">
        <v>0</v>
      </c>
      <c r="K21" s="6"/>
      <c r="L21" s="6"/>
      <c r="M21" s="6"/>
      <c r="N21" s="594">
        <v>0</v>
      </c>
      <c r="O21" s="594">
        <v>0</v>
      </c>
      <c r="P21" s="594">
        <v>0</v>
      </c>
      <c r="Q21" s="301">
        <f>SUM(E21:P21)</f>
        <v>1</v>
      </c>
    </row>
    <row r="22" spans="2:17" ht="36.75" thickBot="1" x14ac:dyDescent="0.3">
      <c r="B22" s="1537"/>
      <c r="C22" s="107"/>
      <c r="D22" s="40" t="s">
        <v>102</v>
      </c>
      <c r="E22" s="137" t="str">
        <f>IFERROR(E21/E20,"N.A.")</f>
        <v>N.A.</v>
      </c>
      <c r="F22" s="137" t="str">
        <f t="shared" ref="F22:P22" si="0">IFERROR(F21/F20,"N.A.")</f>
        <v>N.A.</v>
      </c>
      <c r="G22" s="137" t="str">
        <f t="shared" si="0"/>
        <v>N.A.</v>
      </c>
      <c r="H22" s="137" t="str">
        <f t="shared" si="0"/>
        <v>N.A.</v>
      </c>
      <c r="I22" s="137">
        <f t="shared" si="0"/>
        <v>1</v>
      </c>
      <c r="J22" s="137" t="str">
        <f t="shared" si="0"/>
        <v>N.A.</v>
      </c>
      <c r="K22" s="137" t="str">
        <f t="shared" si="0"/>
        <v>N.A.</v>
      </c>
      <c r="L22" s="137" t="str">
        <f t="shared" si="0"/>
        <v>N.A.</v>
      </c>
      <c r="M22" s="137" t="str">
        <f t="shared" si="0"/>
        <v>N.A.</v>
      </c>
      <c r="N22" s="137" t="str">
        <f t="shared" si="0"/>
        <v>N.A.</v>
      </c>
      <c r="O22" s="137" t="str">
        <f t="shared" si="0"/>
        <v>N.A.</v>
      </c>
      <c r="P22" s="137" t="str">
        <f t="shared" si="0"/>
        <v>N.A.</v>
      </c>
      <c r="Q22" s="137">
        <f>IFERROR(Q21/Q20,"N.A.")</f>
        <v>1</v>
      </c>
    </row>
    <row r="23" spans="2:17" x14ac:dyDescent="0.25">
      <c r="B23" s="1537"/>
      <c r="C23" s="102"/>
      <c r="D23" s="1408" t="s">
        <v>1404</v>
      </c>
      <c r="E23" s="1409"/>
      <c r="F23" s="1409"/>
      <c r="G23" s="1409"/>
      <c r="H23" s="1409"/>
      <c r="I23" s="1409"/>
      <c r="J23" s="1409"/>
      <c r="K23" s="1409"/>
      <c r="L23" s="1539"/>
      <c r="M23" s="1539"/>
      <c r="N23" s="1539"/>
      <c r="O23" s="1539"/>
      <c r="P23" s="1516"/>
    </row>
    <row r="24" spans="2:17" x14ac:dyDescent="0.25">
      <c r="B24" s="1537"/>
      <c r="C24" s="102"/>
      <c r="D24" s="1414" t="s">
        <v>1405</v>
      </c>
      <c r="E24" s="1415"/>
      <c r="F24" s="1415"/>
      <c r="G24" s="1415"/>
      <c r="H24" s="1415"/>
      <c r="I24" s="1415"/>
      <c r="J24" s="1415"/>
      <c r="K24" s="1415"/>
      <c r="L24" s="1540"/>
      <c r="M24" s="1540"/>
      <c r="N24" s="1540"/>
      <c r="O24" s="1540"/>
      <c r="P24" s="1517"/>
    </row>
    <row r="25" spans="2:17" x14ac:dyDescent="0.25">
      <c r="B25" s="1537"/>
      <c r="C25" s="102"/>
      <c r="D25" s="1414" t="s">
        <v>1406</v>
      </c>
      <c r="E25" s="1415"/>
      <c r="F25" s="1415"/>
      <c r="G25" s="1415"/>
      <c r="H25" s="1415"/>
      <c r="I25" s="1415"/>
      <c r="J25" s="1415"/>
      <c r="K25" s="1415"/>
      <c r="L25" s="1540"/>
      <c r="M25" s="1540"/>
      <c r="N25" s="1540"/>
      <c r="O25" s="1540"/>
      <c r="P25" s="1517"/>
    </row>
    <row r="26" spans="2:17" x14ac:dyDescent="0.25">
      <c r="B26" s="1537"/>
      <c r="C26" s="102"/>
      <c r="D26" s="1411" t="s">
        <v>1116</v>
      </c>
      <c r="E26" s="1412"/>
      <c r="F26" s="1412"/>
      <c r="G26" s="1412"/>
      <c r="H26" s="1412"/>
      <c r="I26" s="1412"/>
      <c r="J26" s="1412"/>
      <c r="K26" s="1412"/>
      <c r="L26" s="1541"/>
      <c r="M26" s="1541"/>
      <c r="N26" s="1541"/>
      <c r="O26" s="1541"/>
      <c r="P26" s="1518"/>
    </row>
    <row r="27" spans="2:17" x14ac:dyDescent="0.25">
      <c r="B27" s="1537"/>
      <c r="C27" s="102"/>
      <c r="D27" s="1411" t="s">
        <v>1407</v>
      </c>
      <c r="E27" s="1412"/>
      <c r="F27" s="1412"/>
      <c r="G27" s="1412"/>
      <c r="H27" s="1412"/>
      <c r="I27" s="1412"/>
      <c r="J27" s="1412"/>
      <c r="K27" s="1412"/>
      <c r="L27" s="1541"/>
      <c r="M27" s="1541"/>
      <c r="N27" s="1541"/>
      <c r="O27" s="1541"/>
      <c r="P27" s="1518"/>
    </row>
    <row r="28" spans="2:17" ht="15.75" thickBot="1" x14ac:dyDescent="0.3">
      <c r="B28" s="1537"/>
      <c r="C28" s="102"/>
      <c r="D28" s="1414" t="s">
        <v>1196</v>
      </c>
      <c r="E28" s="1415"/>
      <c r="F28" s="1415"/>
      <c r="G28" s="1415"/>
      <c r="H28" s="1415"/>
      <c r="I28" s="1415"/>
      <c r="J28" s="1415"/>
      <c r="K28" s="1415"/>
      <c r="L28" s="1540"/>
      <c r="M28" s="1540"/>
      <c r="N28" s="1540"/>
      <c r="O28" s="1540"/>
      <c r="P28" s="1517"/>
    </row>
    <row r="29" spans="2:17" ht="21" customHeight="1" x14ac:dyDescent="0.25">
      <c r="B29" s="1537"/>
      <c r="C29" s="1485" t="s">
        <v>842</v>
      </c>
      <c r="D29" s="1531" t="s">
        <v>1118</v>
      </c>
      <c r="E29" s="1531" t="s">
        <v>1408</v>
      </c>
      <c r="F29" s="1531" t="s">
        <v>1409</v>
      </c>
      <c r="G29" s="1531" t="s">
        <v>1410</v>
      </c>
      <c r="H29" s="198" t="s">
        <v>1374</v>
      </c>
      <c r="I29" s="198" t="s">
        <v>1375</v>
      </c>
      <c r="J29" s="1531" t="s">
        <v>1122</v>
      </c>
      <c r="K29" s="1531" t="s">
        <v>1123</v>
      </c>
      <c r="L29" s="1531" t="s">
        <v>846</v>
      </c>
      <c r="P29" s="13"/>
    </row>
    <row r="30" spans="2:17" ht="15.75" thickBot="1" x14ac:dyDescent="0.3">
      <c r="B30" s="1537"/>
      <c r="C30" s="1486"/>
      <c r="D30" s="1532"/>
      <c r="E30" s="1532"/>
      <c r="F30" s="1532"/>
      <c r="G30" s="1532"/>
      <c r="H30" s="199" t="s">
        <v>1376</v>
      </c>
      <c r="I30" s="199" t="s">
        <v>1377</v>
      </c>
      <c r="J30" s="1532"/>
      <c r="K30" s="1532"/>
      <c r="L30" s="1532"/>
      <c r="P30" s="13"/>
    </row>
    <row r="31" spans="2:17" ht="48.75" thickBot="1" x14ac:dyDescent="0.3">
      <c r="B31" s="1537"/>
      <c r="C31" s="270"/>
      <c r="D31" s="595" t="s">
        <v>2244</v>
      </c>
      <c r="E31" s="595" t="s">
        <v>2116</v>
      </c>
      <c r="F31" s="595" t="s">
        <v>2117</v>
      </c>
      <c r="G31" s="595" t="s">
        <v>2115</v>
      </c>
      <c r="H31" s="593">
        <v>150000000</v>
      </c>
      <c r="I31" s="593">
        <v>150000000</v>
      </c>
      <c r="J31" s="593">
        <v>0</v>
      </c>
      <c r="K31" s="593">
        <v>0</v>
      </c>
      <c r="L31" s="593"/>
      <c r="P31" s="13"/>
    </row>
    <row r="32" spans="2:17" ht="15.75" thickBot="1" x14ac:dyDescent="0.3">
      <c r="B32" s="1537"/>
      <c r="C32" s="270"/>
      <c r="D32" s="29"/>
      <c r="E32" s="29"/>
      <c r="F32" s="29"/>
      <c r="G32" s="29"/>
      <c r="H32" s="186"/>
      <c r="I32" s="186"/>
      <c r="J32" s="186"/>
      <c r="K32" s="186"/>
      <c r="L32" s="186"/>
      <c r="P32" s="13"/>
    </row>
    <row r="33" spans="2:16" ht="15.75" thickBot="1" x14ac:dyDescent="0.3">
      <c r="B33" s="1537"/>
      <c r="C33" s="270"/>
      <c r="D33" s="29"/>
      <c r="E33" s="29"/>
      <c r="F33" s="29"/>
      <c r="G33" s="29"/>
      <c r="H33" s="186"/>
      <c r="I33" s="186"/>
      <c r="J33" s="186"/>
      <c r="K33" s="186"/>
      <c r="L33" s="186"/>
      <c r="P33" s="13"/>
    </row>
    <row r="34" spans="2:16" ht="15.75" thickBot="1" x14ac:dyDescent="0.3">
      <c r="B34" s="1537"/>
      <c r="C34" s="270"/>
      <c r="D34" s="29"/>
      <c r="E34" s="29"/>
      <c r="F34" s="29"/>
      <c r="G34" s="29"/>
      <c r="H34" s="186"/>
      <c r="I34" s="186"/>
      <c r="J34" s="186"/>
      <c r="K34" s="186"/>
      <c r="L34" s="186"/>
      <c r="P34" s="13"/>
    </row>
    <row r="35" spans="2:16" ht="15.75" thickBot="1" x14ac:dyDescent="0.3">
      <c r="B35" s="1537"/>
      <c r="C35" s="270"/>
      <c r="D35" s="29"/>
      <c r="E35" s="29"/>
      <c r="F35" s="29"/>
      <c r="G35" s="29"/>
      <c r="H35" s="186"/>
      <c r="I35" s="186"/>
      <c r="J35" s="186"/>
      <c r="K35" s="186"/>
      <c r="L35" s="186"/>
      <c r="P35" s="13"/>
    </row>
    <row r="36" spans="2:16" ht="15.75" thickBot="1" x14ac:dyDescent="0.3">
      <c r="B36" s="1537"/>
      <c r="C36" s="270"/>
      <c r="D36" s="29"/>
      <c r="E36" s="29"/>
      <c r="F36" s="29"/>
      <c r="G36" s="29"/>
      <c r="H36" s="186"/>
      <c r="I36" s="186"/>
      <c r="J36" s="186"/>
      <c r="K36" s="186"/>
      <c r="L36" s="186"/>
      <c r="P36" s="13"/>
    </row>
    <row r="37" spans="2:16" ht="15.75" thickBot="1" x14ac:dyDescent="0.3">
      <c r="B37" s="1537"/>
      <c r="C37" s="270"/>
      <c r="D37" s="29"/>
      <c r="E37" s="29"/>
      <c r="F37" s="29"/>
      <c r="G37" s="29"/>
      <c r="H37" s="186"/>
      <c r="I37" s="186"/>
      <c r="J37" s="186"/>
      <c r="K37" s="186"/>
      <c r="L37" s="186"/>
      <c r="P37" s="13"/>
    </row>
    <row r="38" spans="2:16" ht="15.75" thickBot="1" x14ac:dyDescent="0.3">
      <c r="B38" s="1521"/>
      <c r="C38" s="109"/>
      <c r="D38" s="39" t="s">
        <v>1016</v>
      </c>
      <c r="E38" s="26"/>
      <c r="F38" s="26"/>
      <c r="G38" s="26"/>
      <c r="H38" s="135">
        <f>SUM(H31:H37)</f>
        <v>150000000</v>
      </c>
      <c r="I38" s="135">
        <f>SUM(I31:I37)</f>
        <v>150000000</v>
      </c>
      <c r="J38" s="135">
        <f>SUM(J31:J37)</f>
        <v>0</v>
      </c>
      <c r="K38" s="135">
        <f>SUM(K31:K37)</f>
        <v>0</v>
      </c>
      <c r="L38" s="186"/>
      <c r="M38" s="14"/>
      <c r="N38" s="14"/>
      <c r="P38" s="10"/>
    </row>
    <row r="39" spans="2:16" ht="24" customHeight="1" thickBot="1" x14ac:dyDescent="0.3">
      <c r="B39" s="71" t="s">
        <v>924</v>
      </c>
      <c r="C39" s="106"/>
      <c r="D39" s="1435" t="s">
        <v>1411</v>
      </c>
      <c r="E39" s="1436"/>
      <c r="F39" s="1436"/>
      <c r="G39" s="1436"/>
      <c r="H39" s="1436"/>
      <c r="I39" s="1436"/>
      <c r="J39" s="1436"/>
      <c r="K39" s="1436"/>
      <c r="L39" s="1538"/>
      <c r="M39" s="1538"/>
      <c r="N39" s="1538"/>
      <c r="O39" s="1538"/>
      <c r="P39" s="1530"/>
    </row>
    <row r="40" spans="2:16" ht="23.25" thickBot="1" x14ac:dyDescent="0.3">
      <c r="B40" s="71" t="s">
        <v>926</v>
      </c>
      <c r="C40" s="106"/>
      <c r="D40" s="1435" t="s">
        <v>1202</v>
      </c>
      <c r="E40" s="1436"/>
      <c r="F40" s="1436"/>
      <c r="G40" s="1436"/>
      <c r="H40" s="1436"/>
      <c r="I40" s="1436"/>
      <c r="J40" s="1436"/>
      <c r="K40" s="1436"/>
      <c r="L40" s="1538"/>
      <c r="M40" s="1538"/>
      <c r="N40" s="1538"/>
      <c r="O40" s="1538"/>
      <c r="P40" s="1530"/>
    </row>
    <row r="41" spans="2:16" ht="15.75" thickBot="1" x14ac:dyDescent="0.3">
      <c r="B41" s="1"/>
      <c r="C41" s="75"/>
      <c r="D41" s="5"/>
      <c r="E41" s="5"/>
      <c r="F41" s="5"/>
      <c r="G41" s="5"/>
      <c r="H41" s="5"/>
      <c r="I41" s="5"/>
      <c r="J41" s="5"/>
      <c r="K41" s="5"/>
    </row>
    <row r="42" spans="2:16" ht="24" customHeight="1" thickBot="1" x14ac:dyDescent="0.3">
      <c r="B42" s="1426" t="s">
        <v>928</v>
      </c>
      <c r="C42" s="1427"/>
      <c r="D42" s="1427"/>
      <c r="E42" s="1428"/>
      <c r="F42" s="5"/>
      <c r="G42" s="5"/>
      <c r="H42" s="5"/>
      <c r="I42" s="5"/>
      <c r="J42" s="5"/>
      <c r="K42" s="5"/>
    </row>
    <row r="43" spans="2:16" ht="15.75" thickBot="1" x14ac:dyDescent="0.3">
      <c r="B43" s="1423">
        <v>1</v>
      </c>
      <c r="C43" s="93"/>
      <c r="D43" s="47" t="s">
        <v>929</v>
      </c>
      <c r="E43" s="30" t="s">
        <v>2093</v>
      </c>
      <c r="F43" s="5"/>
      <c r="G43" s="5"/>
      <c r="H43" s="5"/>
      <c r="I43" s="5"/>
      <c r="J43" s="5"/>
      <c r="K43" s="5"/>
    </row>
    <row r="44" spans="2:16" ht="15.75" thickBot="1" x14ac:dyDescent="0.3">
      <c r="B44" s="1424"/>
      <c r="C44" s="93"/>
      <c r="D44" s="40" t="s">
        <v>7</v>
      </c>
      <c r="E44" s="30" t="s">
        <v>2098</v>
      </c>
      <c r="F44" s="5"/>
      <c r="G44" s="5"/>
      <c r="H44" s="5"/>
      <c r="I44" s="5"/>
      <c r="J44" s="5"/>
      <c r="K44" s="5"/>
    </row>
    <row r="45" spans="2:16" ht="15.75" thickBot="1" x14ac:dyDescent="0.3">
      <c r="B45" s="1424"/>
      <c r="C45" s="93"/>
      <c r="D45" s="40" t="s">
        <v>930</v>
      </c>
      <c r="E45" s="30" t="s">
        <v>2109</v>
      </c>
      <c r="F45" s="5"/>
      <c r="G45" s="5"/>
      <c r="H45" s="5"/>
      <c r="I45" s="5"/>
      <c r="J45" s="5"/>
      <c r="K45" s="5"/>
    </row>
    <row r="46" spans="2:16" ht="15.75" thickBot="1" x14ac:dyDescent="0.3">
      <c r="B46" s="1424"/>
      <c r="C46" s="93"/>
      <c r="D46" s="40" t="s">
        <v>9</v>
      </c>
      <c r="E46" s="30" t="s">
        <v>2095</v>
      </c>
      <c r="F46" s="5"/>
      <c r="G46" s="5"/>
      <c r="H46" s="5"/>
      <c r="I46" s="5"/>
      <c r="J46" s="5"/>
      <c r="K46" s="5"/>
    </row>
    <row r="47" spans="2:16" ht="15.75" thickBot="1" x14ac:dyDescent="0.3">
      <c r="B47" s="1424"/>
      <c r="C47" s="93"/>
      <c r="D47" s="40" t="s">
        <v>11</v>
      </c>
      <c r="E47" s="30" t="s">
        <v>2110</v>
      </c>
      <c r="F47" s="5"/>
      <c r="G47" s="5"/>
      <c r="H47" s="5"/>
      <c r="I47" s="5"/>
      <c r="J47" s="5"/>
      <c r="K47" s="5"/>
    </row>
    <row r="48" spans="2:16" ht="15.75" thickBot="1" x14ac:dyDescent="0.3">
      <c r="B48" s="1424"/>
      <c r="C48" s="93"/>
      <c r="D48" s="40" t="s">
        <v>13</v>
      </c>
      <c r="E48" s="30">
        <v>6695278</v>
      </c>
      <c r="F48" s="5"/>
      <c r="G48" s="5"/>
      <c r="H48" s="5"/>
      <c r="I48" s="5"/>
      <c r="J48" s="5"/>
      <c r="K48" s="5"/>
    </row>
    <row r="49" spans="2:11" ht="15.75" thickBot="1" x14ac:dyDescent="0.3">
      <c r="B49" s="1425"/>
      <c r="C49" s="2"/>
      <c r="D49" s="40" t="s">
        <v>931</v>
      </c>
      <c r="E49" s="30" t="s">
        <v>2097</v>
      </c>
      <c r="F49" s="5"/>
      <c r="G49" s="5"/>
      <c r="H49" s="5"/>
      <c r="I49" s="5"/>
      <c r="J49" s="5"/>
      <c r="K49" s="5"/>
    </row>
    <row r="50" spans="2:11" ht="15.75" thickBot="1" x14ac:dyDescent="0.3">
      <c r="B50" s="1"/>
      <c r="C50" s="75"/>
      <c r="D50" s="5"/>
      <c r="E50" s="5"/>
      <c r="F50" s="5"/>
      <c r="G50" s="5"/>
      <c r="H50" s="5"/>
      <c r="I50" s="5"/>
      <c r="J50" s="5"/>
      <c r="K50" s="5"/>
    </row>
    <row r="51" spans="2:11" ht="15.75" thickBot="1" x14ac:dyDescent="0.3">
      <c r="B51" s="1426" t="s">
        <v>932</v>
      </c>
      <c r="C51" s="1427"/>
      <c r="D51" s="1427"/>
      <c r="E51" s="1428"/>
      <c r="F51" s="5"/>
      <c r="G51" s="5"/>
      <c r="H51" s="5"/>
      <c r="I51" s="5"/>
      <c r="J51" s="5"/>
      <c r="K51" s="5"/>
    </row>
    <row r="52" spans="2:11" ht="15.75" thickBot="1" x14ac:dyDescent="0.3">
      <c r="B52" s="1423">
        <v>1</v>
      </c>
      <c r="C52" s="93"/>
      <c r="D52" s="47" t="s">
        <v>929</v>
      </c>
      <c r="E52" s="217" t="s">
        <v>1412</v>
      </c>
      <c r="F52" s="5"/>
      <c r="G52" s="5"/>
      <c r="H52" s="5"/>
      <c r="I52" s="5"/>
      <c r="J52" s="5"/>
      <c r="K52" s="5"/>
    </row>
    <row r="53" spans="2:11" ht="15.75" thickBot="1" x14ac:dyDescent="0.3">
      <c r="B53" s="1424"/>
      <c r="C53" s="93"/>
      <c r="D53" s="40" t="s">
        <v>7</v>
      </c>
      <c r="E53" s="217" t="s">
        <v>934</v>
      </c>
      <c r="F53" s="5"/>
      <c r="G53" s="5"/>
      <c r="H53" s="5"/>
      <c r="I53" s="5"/>
      <c r="J53" s="5"/>
      <c r="K53" s="5"/>
    </row>
    <row r="54" spans="2:11" ht="15.75" thickBot="1" x14ac:dyDescent="0.3">
      <c r="B54" s="1424"/>
      <c r="C54" s="93"/>
      <c r="D54" s="40" t="s">
        <v>930</v>
      </c>
      <c r="E54" s="237"/>
      <c r="F54" s="5"/>
      <c r="G54" s="5"/>
      <c r="H54" s="5"/>
      <c r="I54" s="5"/>
      <c r="J54" s="5"/>
      <c r="K54" s="5"/>
    </row>
    <row r="55" spans="2:11" ht="15.75" thickBot="1" x14ac:dyDescent="0.3">
      <c r="B55" s="1424"/>
      <c r="C55" s="93"/>
      <c r="D55" s="40" t="s">
        <v>9</v>
      </c>
      <c r="E55" s="237"/>
      <c r="F55" s="5"/>
      <c r="G55" s="5"/>
      <c r="H55" s="5"/>
      <c r="I55" s="5"/>
      <c r="J55" s="5"/>
      <c r="K55" s="5"/>
    </row>
    <row r="56" spans="2:11" ht="15.75" thickBot="1" x14ac:dyDescent="0.3">
      <c r="B56" s="1424"/>
      <c r="C56" s="93"/>
      <c r="D56" s="40" t="s">
        <v>11</v>
      </c>
      <c r="E56" s="237"/>
      <c r="F56" s="5"/>
      <c r="G56" s="5"/>
      <c r="H56" s="5"/>
      <c r="I56" s="5"/>
      <c r="J56" s="5"/>
      <c r="K56" s="5"/>
    </row>
    <row r="57" spans="2:11" ht="15.75" thickBot="1" x14ac:dyDescent="0.3">
      <c r="B57" s="1424"/>
      <c r="C57" s="93"/>
      <c r="D57" s="40" t="s">
        <v>13</v>
      </c>
      <c r="E57" s="237"/>
      <c r="F57" s="5"/>
      <c r="G57" s="5"/>
      <c r="H57" s="5"/>
      <c r="I57" s="5"/>
      <c r="J57" s="5"/>
      <c r="K57" s="5"/>
    </row>
    <row r="58" spans="2:11" ht="15.75" thickBot="1" x14ac:dyDescent="0.3">
      <c r="B58" s="1425"/>
      <c r="C58" s="2"/>
      <c r="D58" s="40" t="s">
        <v>931</v>
      </c>
      <c r="E58" s="237"/>
      <c r="F58" s="5"/>
      <c r="G58" s="5"/>
      <c r="H58" s="5"/>
      <c r="I58" s="5"/>
      <c r="J58" s="5"/>
      <c r="K58" s="5"/>
    </row>
    <row r="59" spans="2:11" x14ac:dyDescent="0.25">
      <c r="B59" s="1"/>
      <c r="C59" s="75"/>
      <c r="D59" s="5"/>
      <c r="E59" s="5"/>
      <c r="F59" s="5"/>
      <c r="G59" s="5"/>
      <c r="H59" s="5"/>
      <c r="I59" s="5"/>
      <c r="J59" s="5"/>
      <c r="K59" s="5"/>
    </row>
    <row r="60" spans="2:11" ht="15.75" thickBot="1" x14ac:dyDescent="0.3">
      <c r="B60" s="1"/>
      <c r="C60" s="75"/>
      <c r="D60" s="5"/>
      <c r="E60" s="5"/>
      <c r="F60" s="5"/>
      <c r="G60" s="5"/>
      <c r="H60" s="5"/>
      <c r="I60" s="5"/>
      <c r="J60" s="5"/>
      <c r="K60" s="5"/>
    </row>
    <row r="61" spans="2:11" ht="15.75" thickBot="1" x14ac:dyDescent="0.3">
      <c r="B61" s="1426" t="s">
        <v>935</v>
      </c>
      <c r="C61" s="1427"/>
      <c r="D61" s="1427"/>
      <c r="E61" s="1427"/>
      <c r="F61" s="1428"/>
      <c r="G61" s="5"/>
      <c r="H61" s="5"/>
      <c r="I61" s="5"/>
      <c r="J61" s="5"/>
      <c r="K61" s="5"/>
    </row>
    <row r="62" spans="2:11" ht="24.75" thickBot="1" x14ac:dyDescent="0.3">
      <c r="B62" s="46" t="s">
        <v>936</v>
      </c>
      <c r="C62" s="40" t="s">
        <v>937</v>
      </c>
      <c r="D62" s="40" t="s">
        <v>938</v>
      </c>
      <c r="E62" s="40" t="s">
        <v>939</v>
      </c>
      <c r="F62" s="5"/>
      <c r="G62" s="5"/>
      <c r="H62" s="5"/>
      <c r="I62" s="5"/>
      <c r="J62" s="5"/>
    </row>
    <row r="63" spans="2:11" ht="72.75" thickBot="1" x14ac:dyDescent="0.3">
      <c r="B63" s="48">
        <v>42401</v>
      </c>
      <c r="C63" s="40">
        <v>0.01</v>
      </c>
      <c r="D63" s="49" t="s">
        <v>1413</v>
      </c>
      <c r="E63" s="40"/>
      <c r="F63" s="5"/>
      <c r="G63" s="5"/>
      <c r="H63" s="5"/>
      <c r="I63" s="5"/>
      <c r="J63" s="5"/>
    </row>
    <row r="64" spans="2:11" ht="15.75" thickBot="1" x14ac:dyDescent="0.3">
      <c r="B64" s="3"/>
      <c r="C64" s="94"/>
      <c r="D64" s="5"/>
      <c r="E64" s="5"/>
      <c r="F64" s="5"/>
      <c r="G64" s="5"/>
      <c r="H64" s="5"/>
      <c r="I64" s="5"/>
      <c r="J64" s="5"/>
      <c r="K64" s="5"/>
    </row>
    <row r="65" spans="2:11" ht="24.75" thickBot="1" x14ac:dyDescent="0.3">
      <c r="B65" s="4" t="s">
        <v>846</v>
      </c>
      <c r="C65" s="95"/>
      <c r="D65" s="5"/>
      <c r="E65" s="5"/>
      <c r="F65" s="5"/>
      <c r="G65" s="5"/>
      <c r="H65" s="5"/>
      <c r="I65" s="5"/>
      <c r="J65" s="5"/>
      <c r="K65" s="5"/>
    </row>
    <row r="66" spans="2:11" s="131" customFormat="1" x14ac:dyDescent="0.25">
      <c r="B66" s="1496" t="s">
        <v>1414</v>
      </c>
      <c r="C66" s="1497"/>
      <c r="D66" s="1497"/>
      <c r="E66" s="1497"/>
      <c r="F66" s="1497"/>
      <c r="G66" s="1497"/>
      <c r="H66" s="130"/>
      <c r="I66" s="130"/>
      <c r="J66" s="130"/>
      <c r="K66" s="130"/>
    </row>
    <row r="67" spans="2:11" s="131" customFormat="1" x14ac:dyDescent="0.25">
      <c r="B67" s="1496" t="s">
        <v>1415</v>
      </c>
      <c r="C67" s="1497"/>
      <c r="D67" s="1497"/>
      <c r="E67" s="1497"/>
      <c r="F67" s="1497"/>
      <c r="G67" s="1497"/>
      <c r="H67" s="130"/>
      <c r="I67" s="130"/>
      <c r="J67" s="130"/>
      <c r="K67" s="130"/>
    </row>
    <row r="68" spans="2:11" s="131" customFormat="1" ht="35.450000000000003" customHeight="1" x14ac:dyDescent="0.25">
      <c r="B68" s="1545"/>
      <c r="C68" s="1546"/>
      <c r="D68" s="1546"/>
      <c r="E68" s="1546"/>
      <c r="F68" s="1546"/>
      <c r="G68" s="1546"/>
      <c r="H68" s="130"/>
      <c r="I68" s="130"/>
      <c r="J68" s="130"/>
      <c r="K68" s="130"/>
    </row>
    <row r="69" spans="2:11" ht="15.75" thickBot="1" x14ac:dyDescent="0.3">
      <c r="B69" s="1"/>
      <c r="C69" s="75"/>
      <c r="D69" s="5"/>
      <c r="E69" s="5"/>
      <c r="F69" s="5"/>
      <c r="G69" s="5"/>
      <c r="H69" s="5"/>
      <c r="I69" s="5"/>
      <c r="J69" s="5"/>
      <c r="K69" s="5"/>
    </row>
    <row r="70" spans="2:11" ht="24.75" thickBot="1" x14ac:dyDescent="0.3">
      <c r="B70" s="50" t="s">
        <v>941</v>
      </c>
      <c r="C70" s="96"/>
      <c r="D70" s="5"/>
      <c r="E70" s="5"/>
      <c r="F70" s="5"/>
      <c r="G70" s="5"/>
      <c r="H70" s="5"/>
      <c r="I70" s="5"/>
      <c r="J70" s="5"/>
      <c r="K70" s="5"/>
    </row>
    <row r="71" spans="2:11" ht="15.75" thickBot="1" x14ac:dyDescent="0.3">
      <c r="B71" s="37"/>
      <c r="C71" s="87"/>
      <c r="D71" s="5"/>
      <c r="E71" s="5"/>
      <c r="F71" s="5"/>
      <c r="G71" s="5"/>
      <c r="H71" s="5"/>
      <c r="I71" s="5"/>
      <c r="J71" s="5"/>
      <c r="K71" s="5"/>
    </row>
    <row r="72" spans="2:11" ht="84.75" thickBot="1" x14ac:dyDescent="0.3">
      <c r="B72" s="51" t="s">
        <v>942</v>
      </c>
      <c r="C72" s="97"/>
      <c r="D72" s="43" t="s">
        <v>1416</v>
      </c>
      <c r="E72" s="5"/>
      <c r="F72" s="5"/>
      <c r="G72" s="5"/>
      <c r="H72" s="5"/>
      <c r="I72" s="5"/>
      <c r="J72" s="5"/>
      <c r="K72" s="5"/>
    </row>
    <row r="73" spans="2:11" x14ac:dyDescent="0.25">
      <c r="B73" s="1423" t="s">
        <v>944</v>
      </c>
      <c r="C73" s="93"/>
      <c r="D73" s="52" t="s">
        <v>945</v>
      </c>
      <c r="E73" s="5"/>
      <c r="F73" s="5"/>
      <c r="G73" s="5"/>
      <c r="H73" s="5"/>
      <c r="I73" s="5"/>
      <c r="J73" s="5"/>
      <c r="K73" s="5"/>
    </row>
    <row r="74" spans="2:11" ht="120" x14ac:dyDescent="0.25">
      <c r="B74" s="1424"/>
      <c r="C74" s="93"/>
      <c r="D74" s="45" t="s">
        <v>1417</v>
      </c>
      <c r="E74" s="5"/>
      <c r="F74" s="5"/>
      <c r="G74" s="5"/>
      <c r="H74" s="5"/>
      <c r="I74" s="5"/>
      <c r="J74" s="5"/>
      <c r="K74" s="5"/>
    </row>
    <row r="75" spans="2:11" x14ac:dyDescent="0.25">
      <c r="B75" s="1424"/>
      <c r="C75" s="93"/>
      <c r="D75" s="52" t="s">
        <v>948</v>
      </c>
      <c r="E75" s="5"/>
      <c r="F75" s="5"/>
      <c r="G75" s="5"/>
      <c r="H75" s="5"/>
      <c r="I75" s="5"/>
      <c r="J75" s="5"/>
      <c r="K75" s="5"/>
    </row>
    <row r="76" spans="2:11" ht="72" x14ac:dyDescent="0.25">
      <c r="B76" s="1424"/>
      <c r="C76" s="93"/>
      <c r="D76" s="45" t="s">
        <v>1418</v>
      </c>
      <c r="E76" s="5"/>
      <c r="F76" s="5"/>
      <c r="G76" s="5"/>
      <c r="H76" s="5"/>
      <c r="I76" s="5"/>
      <c r="J76" s="5"/>
      <c r="K76" s="5"/>
    </row>
    <row r="77" spans="2:11" x14ac:dyDescent="0.25">
      <c r="B77" s="1424"/>
      <c r="C77" s="93"/>
      <c r="D77" s="45" t="s">
        <v>950</v>
      </c>
      <c r="E77" s="5"/>
      <c r="F77" s="5"/>
      <c r="G77" s="5"/>
      <c r="H77" s="5"/>
      <c r="I77" s="5"/>
      <c r="J77" s="5"/>
      <c r="K77" s="5"/>
    </row>
    <row r="78" spans="2:11" x14ac:dyDescent="0.25">
      <c r="B78" s="1424"/>
      <c r="C78" s="93"/>
      <c r="D78" s="45" t="s">
        <v>1419</v>
      </c>
      <c r="E78" s="5"/>
      <c r="F78" s="5"/>
      <c r="G78" s="5"/>
      <c r="H78" s="5"/>
      <c r="I78" s="5"/>
      <c r="J78" s="5"/>
      <c r="K78" s="5"/>
    </row>
    <row r="79" spans="2:11" x14ac:dyDescent="0.25">
      <c r="B79" s="1424"/>
      <c r="C79" s="93"/>
      <c r="D79" s="45" t="s">
        <v>1420</v>
      </c>
      <c r="E79" s="5"/>
      <c r="F79" s="5"/>
      <c r="G79" s="5"/>
      <c r="H79" s="5"/>
      <c r="I79" s="5"/>
      <c r="J79" s="5"/>
      <c r="K79" s="5"/>
    </row>
    <row r="80" spans="2:11" x14ac:dyDescent="0.25">
      <c r="B80" s="1424"/>
      <c r="C80" s="93"/>
      <c r="D80" s="52" t="s">
        <v>1172</v>
      </c>
      <c r="E80" s="5"/>
      <c r="F80" s="5"/>
      <c r="G80" s="5"/>
      <c r="H80" s="5"/>
      <c r="I80" s="5"/>
      <c r="J80" s="5"/>
      <c r="K80" s="5"/>
    </row>
    <row r="81" spans="2:11" ht="36.75" thickBot="1" x14ac:dyDescent="0.3">
      <c r="B81" s="1425"/>
      <c r="C81" s="2"/>
      <c r="D81" s="40" t="s">
        <v>1384</v>
      </c>
      <c r="E81" s="5"/>
      <c r="F81" s="5"/>
      <c r="G81" s="5"/>
      <c r="H81" s="5"/>
      <c r="I81" s="5"/>
      <c r="J81" s="5"/>
      <c r="K81" s="5"/>
    </row>
    <row r="82" spans="2:11" ht="24.75" thickBot="1" x14ac:dyDescent="0.3">
      <c r="B82" s="46" t="s">
        <v>957</v>
      </c>
      <c r="C82" s="2"/>
      <c r="D82" s="40"/>
      <c r="E82" s="5"/>
      <c r="F82" s="5"/>
      <c r="G82" s="5"/>
      <c r="H82" s="5"/>
      <c r="I82" s="5"/>
      <c r="J82" s="5"/>
      <c r="K82" s="5"/>
    </row>
    <row r="83" spans="2:11" ht="48" x14ac:dyDescent="0.25">
      <c r="B83" s="1423" t="s">
        <v>958</v>
      </c>
      <c r="C83" s="93"/>
      <c r="D83" s="45" t="s">
        <v>1421</v>
      </c>
      <c r="E83" s="5"/>
      <c r="F83" s="5"/>
      <c r="G83" s="5"/>
      <c r="H83" s="5"/>
      <c r="I83" s="5"/>
      <c r="J83" s="5"/>
      <c r="K83" s="5"/>
    </row>
    <row r="84" spans="2:11" ht="60" x14ac:dyDescent="0.25">
      <c r="B84" s="1424"/>
      <c r="C84" s="93"/>
      <c r="D84" s="25" t="s">
        <v>1422</v>
      </c>
      <c r="E84" s="5"/>
      <c r="F84" s="5"/>
      <c r="G84" s="5"/>
      <c r="H84" s="5"/>
      <c r="I84" s="5"/>
      <c r="J84" s="5"/>
      <c r="K84" s="5"/>
    </row>
    <row r="85" spans="2:11" ht="36" x14ac:dyDescent="0.25">
      <c r="B85" s="1424"/>
      <c r="C85" s="93"/>
      <c r="D85" s="25" t="s">
        <v>1423</v>
      </c>
      <c r="E85" s="5"/>
      <c r="F85" s="5"/>
      <c r="G85" s="5"/>
      <c r="H85" s="5"/>
      <c r="I85" s="5"/>
      <c r="J85" s="5"/>
      <c r="K85" s="5"/>
    </row>
    <row r="86" spans="2:11" ht="48" x14ac:dyDescent="0.25">
      <c r="B86" s="1424"/>
      <c r="C86" s="93"/>
      <c r="D86" s="25" t="s">
        <v>1424</v>
      </c>
      <c r="E86" s="5"/>
      <c r="F86" s="5"/>
      <c r="G86" s="5"/>
      <c r="H86" s="5"/>
      <c r="I86" s="5"/>
      <c r="J86" s="5"/>
      <c r="K86" s="5"/>
    </row>
    <row r="87" spans="2:11" ht="36" x14ac:dyDescent="0.25">
      <c r="B87" s="1424"/>
      <c r="C87" s="93"/>
      <c r="D87" s="25" t="s">
        <v>1425</v>
      </c>
      <c r="E87" s="5"/>
      <c r="F87" s="5"/>
      <c r="G87" s="5"/>
      <c r="H87" s="5"/>
      <c r="I87" s="5"/>
      <c r="J87" s="5"/>
      <c r="K87" s="5"/>
    </row>
    <row r="88" spans="2:11" ht="96" x14ac:dyDescent="0.25">
      <c r="B88" s="1424"/>
      <c r="C88" s="93"/>
      <c r="D88" s="45" t="s">
        <v>1426</v>
      </c>
      <c r="E88" s="5"/>
      <c r="F88" s="5"/>
      <c r="G88" s="5"/>
      <c r="H88" s="5"/>
      <c r="I88" s="5"/>
      <c r="J88" s="5"/>
      <c r="K88" s="5"/>
    </row>
    <row r="89" spans="2:11" ht="48" x14ac:dyDescent="0.25">
      <c r="B89" s="1424"/>
      <c r="C89" s="93"/>
      <c r="D89" s="45" t="s">
        <v>1427</v>
      </c>
      <c r="E89" s="5"/>
      <c r="F89" s="5"/>
      <c r="G89" s="5"/>
      <c r="H89" s="5"/>
      <c r="I89" s="5"/>
      <c r="J89" s="5"/>
      <c r="K89" s="5"/>
    </row>
    <row r="90" spans="2:11" ht="36" x14ac:dyDescent="0.25">
      <c r="B90" s="1424"/>
      <c r="C90" s="93"/>
      <c r="D90" s="45" t="s">
        <v>1428</v>
      </c>
      <c r="E90" s="5"/>
      <c r="F90" s="5"/>
      <c r="G90" s="5"/>
      <c r="H90" s="5"/>
      <c r="I90" s="5"/>
      <c r="J90" s="5"/>
      <c r="K90" s="5"/>
    </row>
    <row r="91" spans="2:11" ht="36" x14ac:dyDescent="0.25">
      <c r="B91" s="1424"/>
      <c r="C91" s="93"/>
      <c r="D91" s="45" t="s">
        <v>1429</v>
      </c>
      <c r="E91" s="5"/>
      <c r="F91" s="5"/>
      <c r="G91" s="5"/>
      <c r="H91" s="5"/>
      <c r="I91" s="5"/>
      <c r="J91" s="5"/>
      <c r="K91" s="5"/>
    </row>
    <row r="92" spans="2:11" ht="96.75" thickBot="1" x14ac:dyDescent="0.3">
      <c r="B92" s="1425"/>
      <c r="C92" s="2"/>
      <c r="D92" s="40" t="s">
        <v>1430</v>
      </c>
      <c r="E92" s="5"/>
      <c r="F92" s="5"/>
      <c r="G92" s="5"/>
      <c r="H92" s="5"/>
      <c r="I92" s="5"/>
      <c r="J92" s="5"/>
      <c r="K92" s="5"/>
    </row>
    <row r="93" spans="2:11" ht="24" x14ac:dyDescent="0.25">
      <c r="B93" s="1423" t="s">
        <v>975</v>
      </c>
      <c r="C93" s="93"/>
      <c r="D93" s="52" t="s">
        <v>1431</v>
      </c>
      <c r="E93" s="5"/>
      <c r="F93" s="5"/>
      <c r="G93" s="5"/>
      <c r="H93" s="5"/>
      <c r="I93" s="5"/>
      <c r="J93" s="5"/>
      <c r="K93" s="5"/>
    </row>
    <row r="94" spans="2:11" x14ac:dyDescent="0.25">
      <c r="B94" s="1424"/>
      <c r="C94" s="93"/>
      <c r="D94" s="45" t="s">
        <v>1432</v>
      </c>
      <c r="E94" s="5"/>
      <c r="F94" s="5"/>
      <c r="G94" s="5"/>
      <c r="H94" s="5"/>
      <c r="I94" s="5"/>
      <c r="J94" s="5"/>
      <c r="K94" s="5"/>
    </row>
    <row r="95" spans="2:11" x14ac:dyDescent="0.25">
      <c r="B95" s="1424"/>
      <c r="C95" s="93"/>
      <c r="D95" s="45" t="s">
        <v>976</v>
      </c>
      <c r="E95" s="5"/>
      <c r="F95" s="5"/>
      <c r="G95" s="5"/>
      <c r="H95" s="5"/>
      <c r="I95" s="5"/>
      <c r="J95" s="5"/>
      <c r="K95" s="5"/>
    </row>
    <row r="96" spans="2:11" ht="49.5" x14ac:dyDescent="0.25">
      <c r="B96" s="1424"/>
      <c r="C96" s="93"/>
      <c r="D96" s="45" t="s">
        <v>1433</v>
      </c>
      <c r="E96" s="5"/>
      <c r="F96" s="5"/>
      <c r="G96" s="5"/>
      <c r="H96" s="5"/>
      <c r="I96" s="5"/>
      <c r="J96" s="5"/>
      <c r="K96" s="5"/>
    </row>
    <row r="97" spans="2:11" ht="49.5" x14ac:dyDescent="0.25">
      <c r="B97" s="1424"/>
      <c r="C97" s="93"/>
      <c r="D97" s="45" t="s">
        <v>1434</v>
      </c>
      <c r="E97" s="5"/>
      <c r="F97" s="5"/>
      <c r="G97" s="5"/>
      <c r="H97" s="5"/>
      <c r="I97" s="5"/>
      <c r="J97" s="5"/>
      <c r="K97" s="5"/>
    </row>
    <row r="98" spans="2:11" ht="49.5" x14ac:dyDescent="0.25">
      <c r="B98" s="1424"/>
      <c r="C98" s="93"/>
      <c r="D98" s="45" t="s">
        <v>1435</v>
      </c>
      <c r="E98" s="5"/>
      <c r="F98" s="5"/>
      <c r="G98" s="5"/>
      <c r="H98" s="5"/>
      <c r="I98" s="5"/>
      <c r="J98" s="5"/>
      <c r="K98" s="5"/>
    </row>
    <row r="99" spans="2:11" x14ac:dyDescent="0.25">
      <c r="B99" s="1424"/>
      <c r="C99" s="93"/>
      <c r="D99" s="52" t="s">
        <v>1116</v>
      </c>
      <c r="E99" s="5"/>
      <c r="F99" s="5"/>
      <c r="G99" s="5"/>
      <c r="H99" s="5"/>
      <c r="I99" s="5"/>
      <c r="J99" s="5"/>
      <c r="K99" s="5"/>
    </row>
    <row r="100" spans="2:11" ht="36" x14ac:dyDescent="0.25">
      <c r="B100" s="1424"/>
      <c r="C100" s="93"/>
      <c r="D100" s="52" t="s">
        <v>1436</v>
      </c>
      <c r="E100" s="5"/>
      <c r="F100" s="5"/>
      <c r="G100" s="5"/>
      <c r="H100" s="5"/>
      <c r="I100" s="5"/>
      <c r="J100" s="5"/>
      <c r="K100" s="5"/>
    </row>
    <row r="101" spans="2:11" x14ac:dyDescent="0.25">
      <c r="B101" s="1424"/>
      <c r="C101" s="93"/>
      <c r="D101" s="16"/>
      <c r="E101" s="5"/>
      <c r="F101" s="5"/>
      <c r="G101" s="5"/>
      <c r="H101" s="5"/>
      <c r="I101" s="5"/>
      <c r="J101" s="5"/>
      <c r="K101" s="5"/>
    </row>
    <row r="102" spans="2:11" x14ac:dyDescent="0.25">
      <c r="B102" s="1424"/>
      <c r="C102" s="93"/>
      <c r="D102" s="45" t="s">
        <v>976</v>
      </c>
      <c r="E102" s="5"/>
      <c r="F102" s="5"/>
      <c r="G102" s="5"/>
      <c r="H102" s="5"/>
      <c r="I102" s="5"/>
      <c r="J102" s="5"/>
      <c r="K102" s="5"/>
    </row>
    <row r="103" spans="2:11" ht="49.5" x14ac:dyDescent="0.25">
      <c r="B103" s="1424"/>
      <c r="C103" s="93"/>
      <c r="D103" s="45" t="s">
        <v>1437</v>
      </c>
      <c r="E103" s="5"/>
      <c r="F103" s="5"/>
      <c r="G103" s="5"/>
      <c r="H103" s="5"/>
      <c r="I103" s="5"/>
      <c r="J103" s="5"/>
      <c r="K103" s="5"/>
    </row>
    <row r="104" spans="2:11" ht="50.25" thickBot="1" x14ac:dyDescent="0.3">
      <c r="B104" s="1425"/>
      <c r="C104" s="2"/>
      <c r="D104" s="40" t="s">
        <v>1438</v>
      </c>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sheetData>
  <mergeCells count="45">
    <mergeCell ref="A1:P1"/>
    <mergeCell ref="A2:P2"/>
    <mergeCell ref="A3:P3"/>
    <mergeCell ref="A4:D4"/>
    <mergeCell ref="A5:P5"/>
    <mergeCell ref="Q15:Q18"/>
    <mergeCell ref="B73:B81"/>
    <mergeCell ref="B83:B92"/>
    <mergeCell ref="B68:G68"/>
    <mergeCell ref="B43:B49"/>
    <mergeCell ref="B51:E51"/>
    <mergeCell ref="B52:B58"/>
    <mergeCell ref="K17:M17"/>
    <mergeCell ref="N17:P17"/>
    <mergeCell ref="K29:K30"/>
    <mergeCell ref="D40:P40"/>
    <mergeCell ref="B42:E42"/>
    <mergeCell ref="D27:P27"/>
    <mergeCell ref="D28:P28"/>
    <mergeCell ref="C29:C30"/>
    <mergeCell ref="D29:D30"/>
    <mergeCell ref="B93:B104"/>
    <mergeCell ref="D16:D18"/>
    <mergeCell ref="E16:J16"/>
    <mergeCell ref="E17:G17"/>
    <mergeCell ref="H17:J17"/>
    <mergeCell ref="B15:B38"/>
    <mergeCell ref="D15:P15"/>
    <mergeCell ref="D23:P23"/>
    <mergeCell ref="D24:P24"/>
    <mergeCell ref="D25:P25"/>
    <mergeCell ref="D26:P26"/>
    <mergeCell ref="K16:P16"/>
    <mergeCell ref="B61:F61"/>
    <mergeCell ref="D39:P39"/>
    <mergeCell ref="B66:G66"/>
    <mergeCell ref="B67:G67"/>
    <mergeCell ref="B10:D10"/>
    <mergeCell ref="E12:P12"/>
    <mergeCell ref="E13:P13"/>
    <mergeCell ref="E29:E30"/>
    <mergeCell ref="F29:F30"/>
    <mergeCell ref="G29:G30"/>
    <mergeCell ref="J29:J30"/>
    <mergeCell ref="L29:L30"/>
  </mergeCells>
  <conditionalFormatting sqref="F10">
    <cfRule type="notContainsBlanks" dxfId="78" priority="4">
      <formula>LEN(TRIM(F10))&gt;0</formula>
    </cfRule>
  </conditionalFormatting>
  <conditionalFormatting sqref="F11:P11">
    <cfRule type="expression" dxfId="77" priority="2">
      <formula>E11="NO SE REPORTA"</formula>
    </cfRule>
    <cfRule type="expression" dxfId="76" priority="3">
      <formula>E10="NO APLICA"</formula>
    </cfRule>
  </conditionalFormatting>
  <conditionalFormatting sqref="E12">
    <cfRule type="expression" dxfId="7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 type="whole" operator="greaterThanOrEqual" allowBlank="1" showInputMessage="1" showErrorMessage="1" errorTitle="ERROR" error="Valor en PESOS (sin centavos)" sqref="H31:K37">
      <formula1>0</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U180"/>
  <sheetViews>
    <sheetView showGridLines="0" topLeftCell="B1" zoomScale="98" zoomScaleNormal="98" workbookViewId="0">
      <selection activeCell="J34" sqref="J34"/>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103</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INFORMACION",+K21))</f>
        <v>0.5</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t="s">
        <v>2509</v>
      </c>
      <c r="F12" s="1484"/>
      <c r="G12" s="1484"/>
      <c r="H12" s="1484"/>
      <c r="I12" s="1484"/>
      <c r="J12" s="1484"/>
      <c r="K12" s="1484"/>
      <c r="L12" s="1484"/>
      <c r="M12" s="1484"/>
      <c r="N12" s="1484"/>
      <c r="O12" s="1484"/>
      <c r="P12" s="1484"/>
      <c r="Q12" s="1484"/>
      <c r="R12" s="1484"/>
    </row>
    <row r="13" spans="1:21" ht="57" customHeight="1" x14ac:dyDescent="0.25">
      <c r="B13" s="356"/>
      <c r="C13" s="87"/>
      <c r="D13" s="171" t="s">
        <v>887</v>
      </c>
      <c r="E13" s="1451" t="s">
        <v>2648</v>
      </c>
      <c r="F13" s="1452"/>
      <c r="G13" s="1452"/>
      <c r="H13" s="1452"/>
      <c r="I13" s="1452"/>
      <c r="J13" s="1452"/>
      <c r="K13" s="1452"/>
      <c r="L13" s="1452"/>
      <c r="M13" s="1452"/>
      <c r="N13" s="1452"/>
      <c r="O13" s="1452"/>
      <c r="P13" s="1452"/>
      <c r="Q13" s="1452"/>
      <c r="R13" s="1453"/>
    </row>
    <row r="14" spans="1:21" ht="6.95" customHeight="1" thickBot="1" x14ac:dyDescent="0.3">
      <c r="B14" s="356"/>
      <c r="C14" s="87"/>
      <c r="D14" s="5"/>
      <c r="E14" s="5"/>
      <c r="F14" s="5"/>
      <c r="G14" s="5"/>
      <c r="H14" s="5"/>
      <c r="I14" s="5"/>
      <c r="J14" s="5"/>
      <c r="K14" s="5"/>
    </row>
    <row r="15" spans="1:21" ht="15.75" thickBot="1" x14ac:dyDescent="0.3">
      <c r="B15" s="1520" t="s">
        <v>888</v>
      </c>
      <c r="C15" s="101"/>
      <c r="D15" s="1408" t="s">
        <v>1189</v>
      </c>
      <c r="E15" s="1409"/>
      <c r="F15" s="1409"/>
      <c r="G15" s="1409"/>
      <c r="H15" s="1409"/>
      <c r="I15" s="1409"/>
      <c r="J15" s="1409"/>
      <c r="K15" s="1409"/>
      <c r="L15" s="1516"/>
    </row>
    <row r="16" spans="1:21" ht="15.75" thickBot="1" x14ac:dyDescent="0.3">
      <c r="B16" s="1537"/>
      <c r="C16" s="107"/>
      <c r="D16" s="1410"/>
      <c r="E16" s="1435" t="s">
        <v>1439</v>
      </c>
      <c r="F16" s="1436"/>
      <c r="G16" s="1437"/>
      <c r="H16" s="1435" t="s">
        <v>1440</v>
      </c>
      <c r="I16" s="1436"/>
      <c r="J16" s="1437"/>
      <c r="K16" s="1423" t="s">
        <v>1367</v>
      </c>
      <c r="L16" s="13"/>
    </row>
    <row r="17" spans="2:12" ht="15.75" thickBot="1" x14ac:dyDescent="0.3">
      <c r="B17" s="1537"/>
      <c r="C17" s="107"/>
      <c r="D17" s="1440"/>
      <c r="E17" s="64" t="s">
        <v>1396</v>
      </c>
      <c r="F17" s="64" t="s">
        <v>1397</v>
      </c>
      <c r="G17" s="64" t="s">
        <v>1441</v>
      </c>
      <c r="H17" s="64" t="s">
        <v>1396</v>
      </c>
      <c r="I17" s="64" t="s">
        <v>1397</v>
      </c>
      <c r="J17" s="64" t="s">
        <v>1441</v>
      </c>
      <c r="K17" s="1425"/>
      <c r="L17" s="13"/>
    </row>
    <row r="18" spans="2:12" ht="24.75" thickBot="1" x14ac:dyDescent="0.3">
      <c r="B18" s="1537"/>
      <c r="C18" s="107"/>
      <c r="D18" s="40" t="s">
        <v>1442</v>
      </c>
      <c r="E18" s="594">
        <v>1</v>
      </c>
      <c r="F18" s="594">
        <v>2</v>
      </c>
      <c r="G18" s="42">
        <f>+E18+F18</f>
        <v>3</v>
      </c>
      <c r="H18" s="594">
        <v>0</v>
      </c>
      <c r="I18" s="594">
        <v>2</v>
      </c>
      <c r="J18" s="42">
        <f>+H18+I18</f>
        <v>2</v>
      </c>
      <c r="K18" s="42">
        <f>+G18+J18</f>
        <v>5</v>
      </c>
      <c r="L18" s="13"/>
    </row>
    <row r="19" spans="2:12" ht="36.75" thickBot="1" x14ac:dyDescent="0.3">
      <c r="B19" s="1537"/>
      <c r="C19" s="107"/>
      <c r="D19" s="40" t="s">
        <v>1443</v>
      </c>
      <c r="E19" s="594">
        <v>0</v>
      </c>
      <c r="F19" s="594">
        <v>1</v>
      </c>
      <c r="G19" s="42">
        <f>+E19+F19</f>
        <v>1</v>
      </c>
      <c r="H19" s="594">
        <v>0</v>
      </c>
      <c r="I19" s="594">
        <v>1</v>
      </c>
      <c r="J19" s="42">
        <f>+H19+I19</f>
        <v>1</v>
      </c>
      <c r="K19" s="42">
        <f>+G19+J19</f>
        <v>2</v>
      </c>
      <c r="L19" s="13"/>
    </row>
    <row r="20" spans="2:12" ht="36.75" thickBot="1" x14ac:dyDescent="0.3">
      <c r="B20" s="1537"/>
      <c r="C20" s="107"/>
      <c r="D20" s="40" t="s">
        <v>1444</v>
      </c>
      <c r="E20" s="594">
        <v>0</v>
      </c>
      <c r="F20" s="594">
        <v>1</v>
      </c>
      <c r="G20" s="42">
        <f>+E20+F20</f>
        <v>1</v>
      </c>
      <c r="H20" s="594">
        <v>0</v>
      </c>
      <c r="I20" s="594">
        <v>0</v>
      </c>
      <c r="J20" s="42">
        <f>+H20+I20</f>
        <v>0</v>
      </c>
      <c r="K20" s="42">
        <f>+G20+J20</f>
        <v>1</v>
      </c>
      <c r="L20" s="13"/>
    </row>
    <row r="21" spans="2:12" ht="36.75" thickBot="1" x14ac:dyDescent="0.3">
      <c r="B21" s="1537"/>
      <c r="C21" s="107"/>
      <c r="D21" s="40" t="s">
        <v>103</v>
      </c>
      <c r="E21" s="185" t="str">
        <f>IFERROR(E20/E19,"N.A.")</f>
        <v>N.A.</v>
      </c>
      <c r="F21" s="185">
        <f t="shared" ref="F21:K21" si="0">IFERROR(F20/F19,"N.A.")</f>
        <v>1</v>
      </c>
      <c r="G21" s="185">
        <f t="shared" si="0"/>
        <v>1</v>
      </c>
      <c r="H21" s="185" t="str">
        <f t="shared" si="0"/>
        <v>N.A.</v>
      </c>
      <c r="I21" s="185">
        <f t="shared" si="0"/>
        <v>0</v>
      </c>
      <c r="J21" s="137">
        <f t="shared" si="0"/>
        <v>0</v>
      </c>
      <c r="K21" s="137">
        <f t="shared" si="0"/>
        <v>0.5</v>
      </c>
      <c r="L21" s="13"/>
    </row>
    <row r="22" spans="2:12" x14ac:dyDescent="0.25">
      <c r="B22" s="1537"/>
      <c r="C22" s="102"/>
      <c r="D22" s="1414"/>
      <c r="E22" s="1415"/>
      <c r="F22" s="1415"/>
      <c r="G22" s="1415"/>
      <c r="H22" s="1415"/>
      <c r="I22" s="1415"/>
      <c r="J22" s="1415"/>
      <c r="K22" s="1415"/>
      <c r="L22" s="1517"/>
    </row>
    <row r="23" spans="2:12" x14ac:dyDescent="0.25">
      <c r="B23" s="1537"/>
      <c r="C23" s="102"/>
      <c r="D23" s="1411" t="s">
        <v>1116</v>
      </c>
      <c r="E23" s="1412"/>
      <c r="F23" s="1412"/>
      <c r="G23" s="1412"/>
      <c r="H23" s="1412"/>
      <c r="I23" s="1412"/>
      <c r="J23" s="1412"/>
      <c r="K23" s="1412"/>
      <c r="L23" s="1518"/>
    </row>
    <row r="24" spans="2:12" x14ac:dyDescent="0.25">
      <c r="B24" s="1537"/>
      <c r="C24" s="102"/>
      <c r="D24" s="1411" t="s">
        <v>1445</v>
      </c>
      <c r="E24" s="1412"/>
      <c r="F24" s="1412"/>
      <c r="G24" s="1412"/>
      <c r="H24" s="1412"/>
      <c r="I24" s="1412"/>
      <c r="J24" s="1412"/>
      <c r="K24" s="1412"/>
      <c r="L24" s="1518"/>
    </row>
    <row r="25" spans="2:12" ht="15.75" thickBot="1" x14ac:dyDescent="0.3">
      <c r="B25" s="1537"/>
      <c r="C25" s="102"/>
      <c r="D25" s="1438" t="s">
        <v>1196</v>
      </c>
      <c r="E25" s="1439"/>
      <c r="F25" s="1439"/>
      <c r="G25" s="1439"/>
      <c r="H25" s="1439"/>
      <c r="I25" s="1439"/>
      <c r="J25" s="1439"/>
      <c r="K25" s="1439"/>
      <c r="L25" s="1519"/>
    </row>
    <row r="26" spans="2:12" ht="21" customHeight="1" x14ac:dyDescent="0.25">
      <c r="B26" s="1537"/>
      <c r="C26" s="1485" t="s">
        <v>842</v>
      </c>
      <c r="D26" s="1531" t="s">
        <v>1118</v>
      </c>
      <c r="E26" s="1554" t="s">
        <v>1408</v>
      </c>
      <c r="F26" s="1554" t="s">
        <v>1409</v>
      </c>
      <c r="G26" s="1554" t="s">
        <v>1410</v>
      </c>
      <c r="H26" s="200" t="s">
        <v>1374</v>
      </c>
      <c r="I26" s="200" t="s">
        <v>1375</v>
      </c>
      <c r="J26" s="1554" t="s">
        <v>1122</v>
      </c>
      <c r="K26" s="1554" t="s">
        <v>1123</v>
      </c>
      <c r="L26" s="1554" t="s">
        <v>846</v>
      </c>
    </row>
    <row r="27" spans="2:12" ht="15.75" thickBot="1" x14ac:dyDescent="0.3">
      <c r="B27" s="1537"/>
      <c r="C27" s="1486"/>
      <c r="D27" s="1532"/>
      <c r="E27" s="1555"/>
      <c r="F27" s="1555"/>
      <c r="G27" s="1555"/>
      <c r="H27" s="201" t="s">
        <v>1376</v>
      </c>
      <c r="I27" s="201" t="s">
        <v>1377</v>
      </c>
      <c r="J27" s="1555"/>
      <c r="K27" s="1555"/>
      <c r="L27" s="1555"/>
    </row>
    <row r="28" spans="2:12" ht="15.75" thickBot="1" x14ac:dyDescent="0.3">
      <c r="B28" s="1537"/>
      <c r="C28" s="269"/>
      <c r="D28" s="592" t="s">
        <v>2511</v>
      </c>
      <c r="E28" s="592" t="s">
        <v>2116</v>
      </c>
      <c r="F28" s="592" t="s">
        <v>2117</v>
      </c>
      <c r="G28" s="592" t="s">
        <v>2512</v>
      </c>
      <c r="H28" s="591">
        <v>50000000</v>
      </c>
      <c r="I28" s="591">
        <v>50000000</v>
      </c>
      <c r="J28" s="591">
        <v>0</v>
      </c>
      <c r="K28" s="591">
        <v>0</v>
      </c>
      <c r="L28" s="591"/>
    </row>
    <row r="29" spans="2:12" ht="15.75" thickBot="1" x14ac:dyDescent="0.3">
      <c r="B29" s="1537"/>
      <c r="C29" s="269"/>
      <c r="D29" s="592" t="s">
        <v>2511</v>
      </c>
      <c r="E29" s="592" t="s">
        <v>2513</v>
      </c>
      <c r="F29" s="592" t="s">
        <v>2117</v>
      </c>
      <c r="G29" s="592" t="s">
        <v>2514</v>
      </c>
      <c r="H29" s="591">
        <v>50000000</v>
      </c>
      <c r="I29" s="591">
        <v>50000000</v>
      </c>
      <c r="J29" s="591">
        <v>0</v>
      </c>
      <c r="K29" s="591">
        <v>0</v>
      </c>
      <c r="L29" s="591"/>
    </row>
    <row r="30" spans="2:12" ht="15.75" thickBot="1" x14ac:dyDescent="0.3">
      <c r="B30" s="1537"/>
      <c r="C30" s="269"/>
      <c r="D30" s="592"/>
      <c r="E30" s="592"/>
      <c r="F30" s="592"/>
      <c r="G30" s="592"/>
      <c r="H30" s="591"/>
      <c r="I30" s="591"/>
      <c r="J30" s="591"/>
      <c r="K30" s="591"/>
      <c r="L30" s="206"/>
    </row>
    <row r="31" spans="2:12" ht="15.75" thickBot="1" x14ac:dyDescent="0.3">
      <c r="B31" s="1537"/>
      <c r="C31" s="269"/>
      <c r="D31" s="592"/>
      <c r="E31" s="592"/>
      <c r="F31" s="592"/>
      <c r="G31" s="592"/>
      <c r="H31" s="591"/>
      <c r="I31" s="591"/>
      <c r="J31" s="591"/>
      <c r="K31" s="591"/>
      <c r="L31" s="206"/>
    </row>
    <row r="32" spans="2:12" ht="15.75" thickBot="1" x14ac:dyDescent="0.3">
      <c r="B32" s="1537"/>
      <c r="C32" s="269"/>
      <c r="D32" s="592"/>
      <c r="E32" s="30"/>
      <c r="F32" s="30"/>
      <c r="G32" s="592"/>
      <c r="H32" s="591"/>
      <c r="I32" s="591"/>
      <c r="J32" s="591"/>
      <c r="K32" s="591"/>
      <c r="L32" s="206"/>
    </row>
    <row r="33" spans="2:12" ht="15.75" thickBot="1" x14ac:dyDescent="0.3">
      <c r="B33" s="1537"/>
      <c r="C33" s="269"/>
      <c r="D33" s="30"/>
      <c r="E33" s="30"/>
      <c r="F33" s="30"/>
      <c r="G33" s="30"/>
      <c r="H33" s="206"/>
      <c r="I33" s="206"/>
      <c r="J33" s="206"/>
      <c r="K33" s="206"/>
      <c r="L33" s="206"/>
    </row>
    <row r="34" spans="2:12" ht="15.75" thickBot="1" x14ac:dyDescent="0.3">
      <c r="B34" s="1537"/>
      <c r="C34" s="269"/>
      <c r="D34" s="30"/>
      <c r="E34" s="30"/>
      <c r="F34" s="30"/>
      <c r="G34" s="30"/>
      <c r="H34" s="206"/>
      <c r="I34" s="206"/>
      <c r="J34" s="206"/>
      <c r="K34" s="206"/>
      <c r="L34" s="206"/>
    </row>
    <row r="35" spans="2:12" ht="15.75" thickBot="1" x14ac:dyDescent="0.3">
      <c r="B35" s="1537"/>
      <c r="C35" s="269"/>
      <c r="D35" s="30"/>
      <c r="E35" s="30"/>
      <c r="F35" s="30"/>
      <c r="G35" s="30"/>
      <c r="H35" s="206"/>
      <c r="I35" s="206"/>
      <c r="J35" s="206"/>
      <c r="K35" s="206"/>
      <c r="L35" s="206"/>
    </row>
    <row r="36" spans="2:12" ht="15.75" thickBot="1" x14ac:dyDescent="0.3">
      <c r="B36" s="1537"/>
      <c r="C36" s="269"/>
      <c r="D36" s="30"/>
      <c r="E36" s="30"/>
      <c r="F36" s="30"/>
      <c r="G36" s="30"/>
      <c r="H36" s="206"/>
      <c r="I36" s="206"/>
      <c r="J36" s="206"/>
      <c r="K36" s="206"/>
      <c r="L36" s="206"/>
    </row>
    <row r="37" spans="2:12" ht="15.75" thickBot="1" x14ac:dyDescent="0.3">
      <c r="B37" s="1521"/>
      <c r="C37" s="108"/>
      <c r="D37" s="26"/>
      <c r="E37" s="39" t="s">
        <v>1016</v>
      </c>
      <c r="F37" s="26"/>
      <c r="G37" s="26"/>
      <c r="H37" s="190">
        <f>SUM(H28:H36)</f>
        <v>100000000</v>
      </c>
      <c r="I37" s="190">
        <f>SUM(I28:I36)</f>
        <v>100000000</v>
      </c>
      <c r="J37" s="190">
        <f>SUM(J28:J36)</f>
        <v>0</v>
      </c>
      <c r="K37" s="190">
        <f>SUM(K28:K36)</f>
        <v>0</v>
      </c>
      <c r="L37" s="206"/>
    </row>
    <row r="38" spans="2:12" ht="36" customHeight="1" thickBot="1" x14ac:dyDescent="0.3">
      <c r="B38" s="71" t="s">
        <v>924</v>
      </c>
      <c r="C38" s="106"/>
      <c r="D38" s="1435" t="s">
        <v>1446</v>
      </c>
      <c r="E38" s="1436"/>
      <c r="F38" s="1436"/>
      <c r="G38" s="1436"/>
      <c r="H38" s="1436"/>
      <c r="I38" s="1436"/>
      <c r="J38" s="1436"/>
      <c r="K38" s="1436"/>
      <c r="L38" s="1530"/>
    </row>
    <row r="39" spans="2:12" ht="24" customHeight="1" thickBot="1" x14ac:dyDescent="0.3">
      <c r="B39" s="71" t="s">
        <v>926</v>
      </c>
      <c r="C39" s="106"/>
      <c r="D39" s="1435" t="s">
        <v>1447</v>
      </c>
      <c r="E39" s="1436"/>
      <c r="F39" s="1436"/>
      <c r="G39" s="1436"/>
      <c r="H39" s="1436"/>
      <c r="I39" s="1436"/>
      <c r="J39" s="1436"/>
      <c r="K39" s="1436"/>
      <c r="L39" s="1530"/>
    </row>
    <row r="40" spans="2:12" ht="15.75" thickBot="1" x14ac:dyDescent="0.3">
      <c r="B40" s="1"/>
      <c r="C40" s="75"/>
      <c r="D40" s="5"/>
      <c r="E40" s="5"/>
      <c r="F40" s="5"/>
      <c r="G40" s="5"/>
      <c r="H40" s="5"/>
      <c r="I40" s="5"/>
      <c r="J40" s="5"/>
      <c r="K40" s="5"/>
    </row>
    <row r="41" spans="2:12" ht="24" customHeight="1" thickBot="1" x14ac:dyDescent="0.3">
      <c r="B41" s="1426" t="s">
        <v>928</v>
      </c>
      <c r="C41" s="1427"/>
      <c r="D41" s="1427"/>
      <c r="E41" s="1428"/>
      <c r="F41" s="5"/>
      <c r="G41" s="5"/>
      <c r="H41" s="5"/>
      <c r="I41" s="5"/>
      <c r="J41" s="5"/>
      <c r="K41" s="5"/>
    </row>
    <row r="42" spans="2:12" ht="15.75" thickBot="1" x14ac:dyDescent="0.3">
      <c r="B42" s="1423">
        <v>1</v>
      </c>
      <c r="C42" s="93"/>
      <c r="D42" s="47" t="s">
        <v>929</v>
      </c>
      <c r="E42" s="30"/>
      <c r="F42" s="5"/>
      <c r="G42" s="5"/>
      <c r="H42" s="5"/>
      <c r="I42" s="5"/>
      <c r="J42" s="5"/>
      <c r="K42" s="5"/>
    </row>
    <row r="43" spans="2:12" ht="15.75" thickBot="1" x14ac:dyDescent="0.3">
      <c r="B43" s="1424"/>
      <c r="C43" s="93"/>
      <c r="D43" s="40" t="s">
        <v>7</v>
      </c>
      <c r="E43" s="30"/>
      <c r="F43" s="5"/>
      <c r="G43" s="5"/>
      <c r="H43" s="5"/>
      <c r="I43" s="5"/>
      <c r="J43" s="5"/>
      <c r="K43" s="5"/>
    </row>
    <row r="44" spans="2:12" ht="15.75" thickBot="1" x14ac:dyDescent="0.3">
      <c r="B44" s="1424"/>
      <c r="C44" s="93"/>
      <c r="D44" s="40" t="s">
        <v>930</v>
      </c>
      <c r="E44" s="30"/>
      <c r="F44" s="5"/>
      <c r="G44" s="5"/>
      <c r="H44" s="5"/>
      <c r="I44" s="5"/>
      <c r="J44" s="5"/>
      <c r="K44" s="5"/>
    </row>
    <row r="45" spans="2:12" ht="15.75" thickBot="1" x14ac:dyDescent="0.3">
      <c r="B45" s="1424"/>
      <c r="C45" s="93"/>
      <c r="D45" s="40" t="s">
        <v>9</v>
      </c>
      <c r="E45" s="30"/>
      <c r="F45" s="5"/>
      <c r="G45" s="5"/>
      <c r="H45" s="5"/>
      <c r="I45" s="5"/>
      <c r="J45" s="5"/>
      <c r="K45" s="5"/>
    </row>
    <row r="46" spans="2:12" ht="15.75" thickBot="1" x14ac:dyDescent="0.3">
      <c r="B46" s="1424"/>
      <c r="C46" s="93"/>
      <c r="D46" s="40" t="s">
        <v>11</v>
      </c>
      <c r="E46" s="30"/>
      <c r="F46" s="5"/>
      <c r="G46" s="5"/>
      <c r="H46" s="5"/>
      <c r="I46" s="5"/>
      <c r="J46" s="5"/>
      <c r="K46" s="5"/>
    </row>
    <row r="47" spans="2:12" ht="15.75" thickBot="1" x14ac:dyDescent="0.3">
      <c r="B47" s="1424"/>
      <c r="C47" s="93"/>
      <c r="D47" s="40" t="s">
        <v>13</v>
      </c>
      <c r="E47" s="30"/>
      <c r="F47" s="5"/>
      <c r="G47" s="5"/>
      <c r="H47" s="5"/>
      <c r="I47" s="5"/>
      <c r="J47" s="5"/>
      <c r="K47" s="5"/>
    </row>
    <row r="48" spans="2:12" ht="15.75" thickBot="1" x14ac:dyDescent="0.3">
      <c r="B48" s="1425"/>
      <c r="C48" s="2"/>
      <c r="D48" s="40" t="s">
        <v>931</v>
      </c>
      <c r="E48" s="30"/>
      <c r="F48" s="5"/>
      <c r="G48" s="5"/>
      <c r="H48" s="5"/>
      <c r="I48" s="5"/>
      <c r="J48" s="5"/>
      <c r="K48" s="5"/>
    </row>
    <row r="49" spans="2:11" ht="15.75" thickBot="1" x14ac:dyDescent="0.3">
      <c r="B49" s="1"/>
      <c r="C49" s="75"/>
      <c r="D49" s="5"/>
      <c r="E49" s="5"/>
      <c r="F49" s="5"/>
      <c r="G49" s="5"/>
      <c r="H49" s="5"/>
      <c r="I49" s="5"/>
      <c r="J49" s="5"/>
      <c r="K49" s="5"/>
    </row>
    <row r="50" spans="2:11" ht="15.75" thickBot="1" x14ac:dyDescent="0.3">
      <c r="B50" s="1426" t="s">
        <v>932</v>
      </c>
      <c r="C50" s="1427"/>
      <c r="D50" s="1427"/>
      <c r="E50" s="1428"/>
      <c r="F50" s="5"/>
      <c r="G50" s="5"/>
      <c r="H50" s="5"/>
      <c r="I50" s="5"/>
      <c r="J50" s="5"/>
      <c r="K50" s="5"/>
    </row>
    <row r="51" spans="2:11" ht="15.75" thickBot="1" x14ac:dyDescent="0.3">
      <c r="B51" s="1423">
        <v>1</v>
      </c>
      <c r="C51" s="93"/>
      <c r="D51" s="47" t="s">
        <v>929</v>
      </c>
      <c r="E51" s="217" t="s">
        <v>933</v>
      </c>
      <c r="F51" s="5"/>
      <c r="G51" s="5"/>
      <c r="H51" s="5"/>
      <c r="I51" s="5"/>
      <c r="J51" s="5"/>
      <c r="K51" s="5"/>
    </row>
    <row r="52" spans="2:11" ht="15.75" thickBot="1" x14ac:dyDescent="0.3">
      <c r="B52" s="1424"/>
      <c r="C52" s="93"/>
      <c r="D52" s="40" t="s">
        <v>7</v>
      </c>
      <c r="E52" s="217" t="s">
        <v>934</v>
      </c>
      <c r="F52" s="5"/>
      <c r="G52" s="5"/>
      <c r="H52" s="5"/>
      <c r="I52" s="5"/>
      <c r="J52" s="5"/>
      <c r="K52" s="5"/>
    </row>
    <row r="53" spans="2:11" ht="15.75" thickBot="1" x14ac:dyDescent="0.3">
      <c r="B53" s="1424"/>
      <c r="C53" s="93"/>
      <c r="D53" s="40" t="s">
        <v>930</v>
      </c>
      <c r="E53" s="237"/>
      <c r="F53" s="5"/>
      <c r="G53" s="5"/>
      <c r="H53" s="5"/>
      <c r="I53" s="5"/>
      <c r="J53" s="5"/>
      <c r="K53" s="5"/>
    </row>
    <row r="54" spans="2:11" ht="15.75" thickBot="1" x14ac:dyDescent="0.3">
      <c r="B54" s="1424"/>
      <c r="C54" s="93"/>
      <c r="D54" s="40" t="s">
        <v>9</v>
      </c>
      <c r="E54" s="237"/>
      <c r="F54" s="5"/>
      <c r="G54" s="5"/>
      <c r="H54" s="5"/>
      <c r="I54" s="5"/>
      <c r="J54" s="5"/>
      <c r="K54" s="5"/>
    </row>
    <row r="55" spans="2:11" ht="15.75" thickBot="1" x14ac:dyDescent="0.3">
      <c r="B55" s="1424"/>
      <c r="C55" s="93"/>
      <c r="D55" s="40" t="s">
        <v>11</v>
      </c>
      <c r="E55" s="237"/>
      <c r="F55" s="5"/>
      <c r="G55" s="5"/>
      <c r="H55" s="5"/>
      <c r="I55" s="5"/>
      <c r="J55" s="5"/>
      <c r="K55" s="5"/>
    </row>
    <row r="56" spans="2:11" ht="15.75" thickBot="1" x14ac:dyDescent="0.3">
      <c r="B56" s="1424"/>
      <c r="C56" s="93"/>
      <c r="D56" s="40" t="s">
        <v>13</v>
      </c>
      <c r="E56" s="237"/>
      <c r="F56" s="5"/>
      <c r="G56" s="5"/>
      <c r="H56" s="5"/>
      <c r="I56" s="5"/>
      <c r="J56" s="5"/>
      <c r="K56" s="5"/>
    </row>
    <row r="57" spans="2:11" ht="15.75" thickBot="1" x14ac:dyDescent="0.3">
      <c r="B57" s="1425"/>
      <c r="C57" s="2"/>
      <c r="D57" s="40" t="s">
        <v>931</v>
      </c>
      <c r="E57" s="237"/>
      <c r="F57" s="5"/>
      <c r="G57" s="5"/>
      <c r="H57" s="5"/>
      <c r="I57" s="5"/>
      <c r="J57" s="5"/>
      <c r="K57" s="5"/>
    </row>
    <row r="58" spans="2:11" ht="15.75" thickBot="1" x14ac:dyDescent="0.3">
      <c r="B58" s="1"/>
      <c r="C58" s="75"/>
      <c r="D58" s="5"/>
      <c r="E58" s="5"/>
      <c r="F58" s="5"/>
      <c r="G58" s="5"/>
      <c r="H58" s="5"/>
      <c r="I58" s="5"/>
      <c r="J58" s="5"/>
      <c r="K58" s="5"/>
    </row>
    <row r="59" spans="2:11" ht="15" customHeight="1" thickBot="1" x14ac:dyDescent="0.3">
      <c r="B59" s="118" t="s">
        <v>935</v>
      </c>
      <c r="C59" s="119"/>
      <c r="D59" s="119"/>
      <c r="E59" s="120"/>
      <c r="G59" s="5"/>
      <c r="H59" s="5"/>
      <c r="I59" s="5"/>
      <c r="J59" s="5"/>
      <c r="K59" s="5"/>
    </row>
    <row r="60" spans="2:11" ht="24.75" thickBot="1" x14ac:dyDescent="0.3">
      <c r="B60" s="46" t="s">
        <v>936</v>
      </c>
      <c r="C60" s="40" t="s">
        <v>937</v>
      </c>
      <c r="D60" s="40" t="s">
        <v>938</v>
      </c>
      <c r="E60" s="40" t="s">
        <v>939</v>
      </c>
      <c r="F60" s="5"/>
      <c r="G60" s="5"/>
      <c r="H60" s="5"/>
      <c r="I60" s="5"/>
      <c r="J60" s="5"/>
    </row>
    <row r="61" spans="2:11" ht="72.75" thickBot="1" x14ac:dyDescent="0.3">
      <c r="B61" s="48">
        <v>42401</v>
      </c>
      <c r="C61" s="40">
        <v>0.01</v>
      </c>
      <c r="D61" s="49" t="s">
        <v>1448</v>
      </c>
      <c r="E61" s="40"/>
      <c r="F61" s="5"/>
      <c r="G61" s="5"/>
      <c r="H61" s="5"/>
      <c r="I61" s="5"/>
      <c r="J61" s="5"/>
    </row>
    <row r="62" spans="2:11" ht="15.75" thickBot="1" x14ac:dyDescent="0.3">
      <c r="B62" s="3"/>
      <c r="C62" s="94"/>
      <c r="D62" s="5"/>
      <c r="E62" s="5"/>
      <c r="F62" s="5"/>
      <c r="G62" s="5"/>
      <c r="H62" s="5"/>
      <c r="I62" s="5"/>
      <c r="J62" s="5"/>
      <c r="K62" s="5"/>
    </row>
    <row r="63" spans="2:11" x14ac:dyDescent="0.25">
      <c r="B63" s="128" t="s">
        <v>846</v>
      </c>
      <c r="C63" s="95"/>
      <c r="D63" s="5"/>
      <c r="E63" s="5"/>
      <c r="F63" s="5"/>
      <c r="G63" s="5"/>
      <c r="H63" s="5"/>
      <c r="I63" s="5"/>
      <c r="J63" s="5"/>
      <c r="K63" s="5"/>
    </row>
    <row r="64" spans="2:11" ht="81" customHeight="1" x14ac:dyDescent="0.25">
      <c r="B64" s="1548" t="s">
        <v>1449</v>
      </c>
      <c r="C64" s="1549"/>
      <c r="D64" s="1550"/>
      <c r="E64" s="5"/>
      <c r="F64" s="5"/>
      <c r="G64" s="5"/>
      <c r="H64" s="5"/>
      <c r="I64" s="5"/>
      <c r="J64" s="5"/>
      <c r="K64" s="5"/>
    </row>
    <row r="65" spans="2:11" x14ac:dyDescent="0.25">
      <c r="B65" s="1551"/>
      <c r="C65" s="1552"/>
      <c r="D65" s="1553"/>
      <c r="E65" s="5"/>
      <c r="F65" s="5"/>
      <c r="G65" s="5"/>
      <c r="H65" s="5"/>
      <c r="I65" s="5"/>
      <c r="J65" s="5"/>
      <c r="K65" s="5"/>
    </row>
    <row r="66" spans="2:11" x14ac:dyDescent="0.25">
      <c r="B66" s="1"/>
      <c r="C66" s="75"/>
      <c r="D66" s="5"/>
      <c r="E66" s="5"/>
      <c r="F66" s="5"/>
      <c r="G66" s="5"/>
      <c r="H66" s="5"/>
      <c r="I66" s="5"/>
      <c r="J66" s="5"/>
      <c r="K66" s="5"/>
    </row>
    <row r="67" spans="2:11" ht="15.75" thickBot="1" x14ac:dyDescent="0.3">
      <c r="B67" s="5"/>
      <c r="D67" s="5"/>
      <c r="E67" s="5"/>
      <c r="F67" s="5"/>
      <c r="G67" s="5"/>
      <c r="H67" s="5"/>
      <c r="I67" s="5"/>
      <c r="J67" s="5"/>
      <c r="K67" s="5"/>
    </row>
    <row r="68" spans="2:11" ht="24.75" thickBot="1" x14ac:dyDescent="0.3">
      <c r="B68" s="50" t="s">
        <v>1381</v>
      </c>
      <c r="C68" s="96"/>
      <c r="D68" s="5"/>
      <c r="E68" s="5"/>
      <c r="F68" s="5"/>
      <c r="G68" s="5"/>
      <c r="H68" s="5"/>
      <c r="I68" s="5"/>
      <c r="J68" s="5"/>
      <c r="K68" s="5"/>
    </row>
    <row r="69" spans="2:11" ht="15.75" thickBot="1" x14ac:dyDescent="0.3">
      <c r="B69" s="37"/>
      <c r="C69" s="87"/>
      <c r="D69" s="5"/>
      <c r="E69" s="5"/>
      <c r="F69" s="5"/>
      <c r="G69" s="5"/>
      <c r="H69" s="5"/>
      <c r="I69" s="5"/>
      <c r="J69" s="5"/>
      <c r="K69" s="5"/>
    </row>
    <row r="70" spans="2:11" ht="84.75" thickBot="1" x14ac:dyDescent="0.3">
      <c r="B70" s="51" t="s">
        <v>942</v>
      </c>
      <c r="C70" s="97"/>
      <c r="D70" s="43" t="s">
        <v>1450</v>
      </c>
      <c r="E70" s="5"/>
      <c r="F70" s="5"/>
      <c r="G70" s="5"/>
      <c r="H70" s="5"/>
      <c r="I70" s="5"/>
      <c r="J70" s="5"/>
      <c r="K70" s="5"/>
    </row>
    <row r="71" spans="2:11" x14ac:dyDescent="0.25">
      <c r="B71" s="1423" t="s">
        <v>944</v>
      </c>
      <c r="C71" s="93"/>
      <c r="D71" s="52" t="s">
        <v>945</v>
      </c>
      <c r="E71" s="5"/>
      <c r="F71" s="5"/>
      <c r="G71" s="5"/>
      <c r="H71" s="5"/>
      <c r="I71" s="5"/>
      <c r="J71" s="5"/>
      <c r="K71" s="5"/>
    </row>
    <row r="72" spans="2:11" ht="120" x14ac:dyDescent="0.25">
      <c r="B72" s="1424"/>
      <c r="C72" s="93"/>
      <c r="D72" s="45" t="s">
        <v>1451</v>
      </c>
      <c r="E72" s="5"/>
      <c r="F72" s="5"/>
      <c r="G72" s="5"/>
      <c r="H72" s="5"/>
      <c r="I72" s="5"/>
      <c r="J72" s="5"/>
      <c r="K72" s="5"/>
    </row>
    <row r="73" spans="2:11" x14ac:dyDescent="0.25">
      <c r="B73" s="1424"/>
      <c r="C73" s="93"/>
      <c r="D73" s="52" t="s">
        <v>948</v>
      </c>
      <c r="E73" s="5"/>
      <c r="F73" s="5"/>
      <c r="G73" s="5"/>
      <c r="H73" s="5"/>
      <c r="I73" s="5"/>
      <c r="J73" s="5"/>
      <c r="K73" s="5"/>
    </row>
    <row r="74" spans="2:11" x14ac:dyDescent="0.25">
      <c r="B74" s="1424"/>
      <c r="C74" s="93"/>
      <c r="D74" s="45" t="s">
        <v>1052</v>
      </c>
      <c r="E74" s="5"/>
      <c r="F74" s="5"/>
      <c r="G74" s="5"/>
      <c r="H74" s="5"/>
      <c r="I74" s="5"/>
      <c r="J74" s="5"/>
      <c r="K74" s="5"/>
    </row>
    <row r="75" spans="2:11" ht="24" x14ac:dyDescent="0.25">
      <c r="B75" s="1424"/>
      <c r="C75" s="93"/>
      <c r="D75" s="45" t="s">
        <v>1452</v>
      </c>
      <c r="E75" s="5"/>
      <c r="F75" s="5"/>
      <c r="G75" s="5"/>
      <c r="H75" s="5"/>
      <c r="I75" s="5"/>
      <c r="J75" s="5"/>
      <c r="K75" s="5"/>
    </row>
    <row r="76" spans="2:11" x14ac:dyDescent="0.25">
      <c r="B76" s="1424"/>
      <c r="C76" s="93"/>
      <c r="D76" s="45" t="s">
        <v>1453</v>
      </c>
      <c r="E76" s="5"/>
      <c r="F76" s="5"/>
      <c r="G76" s="5"/>
      <c r="H76" s="5"/>
      <c r="I76" s="5"/>
      <c r="J76" s="5"/>
      <c r="K76" s="5"/>
    </row>
    <row r="77" spans="2:11" ht="24" x14ac:dyDescent="0.25">
      <c r="B77" s="1424"/>
      <c r="C77" s="93"/>
      <c r="D77" s="45" t="s">
        <v>1454</v>
      </c>
      <c r="E77" s="5"/>
      <c r="F77" s="5"/>
      <c r="G77" s="5"/>
      <c r="H77" s="5"/>
      <c r="I77" s="5"/>
      <c r="J77" s="5"/>
      <c r="K77" s="5"/>
    </row>
    <row r="78" spans="2:11" ht="24" x14ac:dyDescent="0.25">
      <c r="B78" s="1424"/>
      <c r="C78" s="93"/>
      <c r="D78" s="45" t="s">
        <v>1455</v>
      </c>
      <c r="E78" s="5"/>
      <c r="F78" s="5"/>
      <c r="G78" s="5"/>
      <c r="H78" s="5"/>
      <c r="I78" s="5"/>
      <c r="J78" s="5"/>
      <c r="K78" s="5"/>
    </row>
    <row r="79" spans="2:11" ht="24" x14ac:dyDescent="0.25">
      <c r="B79" s="1424"/>
      <c r="C79" s="93"/>
      <c r="D79" s="45" t="s">
        <v>1456</v>
      </c>
      <c r="E79" s="5"/>
      <c r="F79" s="5"/>
      <c r="G79" s="5"/>
      <c r="H79" s="5"/>
      <c r="I79" s="5"/>
      <c r="J79" s="5"/>
      <c r="K79" s="5"/>
    </row>
    <row r="80" spans="2:11" x14ac:dyDescent="0.25">
      <c r="B80" s="1424"/>
      <c r="C80" s="93"/>
      <c r="D80" s="52" t="s">
        <v>1172</v>
      </c>
      <c r="E80" s="5"/>
      <c r="F80" s="5"/>
      <c r="G80" s="5"/>
      <c r="H80" s="5"/>
      <c r="I80" s="5"/>
      <c r="J80" s="5"/>
      <c r="K80" s="5"/>
    </row>
    <row r="81" spans="2:11" ht="36" x14ac:dyDescent="0.25">
      <c r="B81" s="1424"/>
      <c r="C81" s="93"/>
      <c r="D81" s="45" t="s">
        <v>1269</v>
      </c>
      <c r="E81" s="5"/>
      <c r="F81" s="5"/>
      <c r="G81" s="5"/>
      <c r="H81" s="5"/>
      <c r="I81" s="5"/>
      <c r="J81" s="5"/>
      <c r="K81" s="5"/>
    </row>
    <row r="82" spans="2:11" ht="36" x14ac:dyDescent="0.25">
      <c r="B82" s="1424"/>
      <c r="C82" s="93"/>
      <c r="D82" s="45" t="s">
        <v>1457</v>
      </c>
      <c r="E82" s="5"/>
      <c r="F82" s="5"/>
      <c r="G82" s="5"/>
      <c r="H82" s="5"/>
      <c r="I82" s="5"/>
      <c r="J82" s="5"/>
      <c r="K82" s="5"/>
    </row>
    <row r="83" spans="2:11" ht="84.75" thickBot="1" x14ac:dyDescent="0.3">
      <c r="B83" s="1425"/>
      <c r="C83" s="2"/>
      <c r="D83" s="40" t="s">
        <v>1458</v>
      </c>
      <c r="E83" s="5"/>
      <c r="F83" s="5"/>
      <c r="G83" s="5"/>
      <c r="H83" s="5"/>
      <c r="I83" s="5"/>
      <c r="J83" s="5"/>
      <c r="K83" s="5"/>
    </row>
    <row r="84" spans="2:11" ht="24.75" thickBot="1" x14ac:dyDescent="0.3">
      <c r="B84" s="46" t="s">
        <v>957</v>
      </c>
      <c r="C84" s="2"/>
      <c r="D84" s="40"/>
      <c r="E84" s="5"/>
      <c r="F84" s="5"/>
      <c r="G84" s="5"/>
      <c r="H84" s="5"/>
      <c r="I84" s="5"/>
      <c r="J84" s="5"/>
      <c r="K84" s="5"/>
    </row>
    <row r="85" spans="2:11" ht="84" x14ac:dyDescent="0.25">
      <c r="B85" s="1423" t="s">
        <v>958</v>
      </c>
      <c r="C85" s="93"/>
      <c r="D85" s="45" t="s">
        <v>1459</v>
      </c>
      <c r="E85" s="5"/>
      <c r="F85" s="5"/>
      <c r="G85" s="5"/>
      <c r="H85" s="5"/>
      <c r="I85" s="5"/>
      <c r="J85" s="5"/>
      <c r="K85" s="5"/>
    </row>
    <row r="86" spans="2:11" ht="96" x14ac:dyDescent="0.25">
      <c r="B86" s="1424"/>
      <c r="C86" s="93"/>
      <c r="D86" s="45" t="s">
        <v>1460</v>
      </c>
      <c r="E86" s="5"/>
      <c r="F86" s="5"/>
      <c r="G86" s="5"/>
      <c r="H86" s="5"/>
      <c r="I86" s="5"/>
      <c r="J86" s="5"/>
      <c r="K86" s="5"/>
    </row>
    <row r="87" spans="2:11" ht="132" x14ac:dyDescent="0.25">
      <c r="B87" s="1424"/>
      <c r="C87" s="93"/>
      <c r="D87" s="45" t="s">
        <v>1461</v>
      </c>
      <c r="E87" s="5"/>
      <c r="F87" s="5"/>
      <c r="G87" s="5"/>
      <c r="H87" s="5"/>
      <c r="I87" s="5"/>
      <c r="J87" s="5"/>
      <c r="K87" s="5"/>
    </row>
    <row r="88" spans="2:11" ht="144.75" thickBot="1" x14ac:dyDescent="0.3">
      <c r="B88" s="1425"/>
      <c r="C88" s="2"/>
      <c r="D88" s="40" t="s">
        <v>1462</v>
      </c>
      <c r="E88" s="5"/>
      <c r="F88" s="5"/>
      <c r="G88" s="5"/>
      <c r="H88" s="5"/>
      <c r="I88" s="5"/>
      <c r="J88" s="5"/>
      <c r="K88" s="5"/>
    </row>
    <row r="89" spans="2:11" ht="24" x14ac:dyDescent="0.25">
      <c r="B89" s="1423" t="s">
        <v>975</v>
      </c>
      <c r="C89" s="93"/>
      <c r="D89" s="52" t="s">
        <v>103</v>
      </c>
      <c r="E89" s="5"/>
      <c r="F89" s="5"/>
      <c r="G89" s="5"/>
      <c r="H89" s="5"/>
      <c r="I89" s="5"/>
      <c r="J89" s="5"/>
      <c r="K89" s="5"/>
    </row>
    <row r="90" spans="2:11" x14ac:dyDescent="0.25">
      <c r="B90" s="1424"/>
      <c r="C90" s="93"/>
      <c r="D90" s="45" t="s">
        <v>1432</v>
      </c>
      <c r="E90" s="5"/>
      <c r="F90" s="5"/>
      <c r="G90" s="5"/>
      <c r="H90" s="5"/>
      <c r="I90" s="5"/>
      <c r="J90" s="5"/>
      <c r="K90" s="5"/>
    </row>
    <row r="91" spans="2:11" x14ac:dyDescent="0.25">
      <c r="B91" s="1424"/>
      <c r="C91" s="93"/>
      <c r="D91" s="45" t="s">
        <v>976</v>
      </c>
      <c r="E91" s="5"/>
      <c r="F91" s="5"/>
      <c r="G91" s="5"/>
      <c r="H91" s="5"/>
      <c r="I91" s="5"/>
      <c r="J91" s="5"/>
      <c r="K91" s="5"/>
    </row>
    <row r="92" spans="2:11" ht="37.5" x14ac:dyDescent="0.25">
      <c r="B92" s="1424"/>
      <c r="C92" s="93"/>
      <c r="D92" s="45" t="s">
        <v>1463</v>
      </c>
      <c r="E92" s="5"/>
      <c r="F92" s="5"/>
      <c r="G92" s="5"/>
      <c r="H92" s="5"/>
      <c r="I92" s="5"/>
      <c r="J92" s="5"/>
      <c r="K92" s="5"/>
    </row>
    <row r="93" spans="2:11" ht="37.5" x14ac:dyDescent="0.25">
      <c r="B93" s="1424"/>
      <c r="C93" s="93"/>
      <c r="D93" s="45" t="s">
        <v>1464</v>
      </c>
      <c r="E93" s="5"/>
      <c r="F93" s="5"/>
      <c r="G93" s="5"/>
      <c r="H93" s="5"/>
      <c r="I93" s="5"/>
      <c r="J93" s="5"/>
      <c r="K93" s="5"/>
    </row>
    <row r="94" spans="2:11" ht="37.5" x14ac:dyDescent="0.25">
      <c r="B94" s="1424"/>
      <c r="C94" s="93"/>
      <c r="D94" s="45" t="s">
        <v>1465</v>
      </c>
      <c r="E94" s="5"/>
      <c r="F94" s="5"/>
      <c r="G94" s="5"/>
      <c r="H94" s="5"/>
      <c r="I94" s="5"/>
      <c r="J94" s="5"/>
      <c r="K94" s="5"/>
    </row>
    <row r="95" spans="2:11" ht="84" x14ac:dyDescent="0.25">
      <c r="B95" s="1424"/>
      <c r="C95" s="93"/>
      <c r="D95" s="53" t="s">
        <v>1142</v>
      </c>
      <c r="E95" s="5"/>
      <c r="F95" s="5"/>
      <c r="G95" s="5"/>
      <c r="H95" s="5"/>
      <c r="I95" s="5"/>
      <c r="J95" s="5"/>
      <c r="K95" s="5"/>
    </row>
    <row r="96" spans="2:11" x14ac:dyDescent="0.25">
      <c r="B96" s="1424"/>
      <c r="C96" s="93"/>
      <c r="D96" s="52" t="s">
        <v>1116</v>
      </c>
      <c r="E96" s="5"/>
      <c r="F96" s="5"/>
      <c r="G96" s="5"/>
      <c r="H96" s="5"/>
      <c r="I96" s="5"/>
      <c r="J96" s="5"/>
      <c r="K96" s="5"/>
    </row>
    <row r="97" spans="2:11" ht="24" x14ac:dyDescent="0.25">
      <c r="B97" s="1424"/>
      <c r="C97" s="93"/>
      <c r="D97" s="52" t="s">
        <v>1466</v>
      </c>
      <c r="E97" s="5"/>
      <c r="F97" s="5"/>
      <c r="G97" s="5"/>
      <c r="H97" s="5"/>
      <c r="I97" s="5"/>
      <c r="J97" s="5"/>
      <c r="K97" s="5"/>
    </row>
    <row r="98" spans="2:11" x14ac:dyDescent="0.25">
      <c r="B98" s="1424"/>
      <c r="C98" s="93"/>
      <c r="D98" s="16"/>
      <c r="E98" s="5"/>
      <c r="F98" s="5"/>
      <c r="G98" s="5"/>
      <c r="H98" s="5"/>
      <c r="I98" s="5"/>
      <c r="J98" s="5"/>
      <c r="K98" s="5"/>
    </row>
    <row r="99" spans="2:11" x14ac:dyDescent="0.25">
      <c r="B99" s="1424"/>
      <c r="C99" s="93"/>
      <c r="D99" s="45" t="s">
        <v>976</v>
      </c>
      <c r="E99" s="5"/>
      <c r="F99" s="5"/>
      <c r="G99" s="5"/>
      <c r="H99" s="5"/>
      <c r="I99" s="5"/>
      <c r="J99" s="5"/>
      <c r="K99" s="5"/>
    </row>
    <row r="100" spans="2:11" ht="49.5" x14ac:dyDescent="0.25">
      <c r="B100" s="1424"/>
      <c r="C100" s="93"/>
      <c r="D100" s="45" t="s">
        <v>1467</v>
      </c>
      <c r="E100" s="5"/>
      <c r="F100" s="5"/>
      <c r="G100" s="5"/>
      <c r="H100" s="5"/>
      <c r="I100" s="5"/>
      <c r="J100" s="5"/>
      <c r="K100" s="5"/>
    </row>
    <row r="101" spans="2:11" ht="50.25" thickBot="1" x14ac:dyDescent="0.3">
      <c r="B101" s="1425"/>
      <c r="C101" s="2"/>
      <c r="D101" s="40" t="s">
        <v>1468</v>
      </c>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sheetProtection insertRows="0"/>
  <mergeCells count="38">
    <mergeCell ref="A1:P1"/>
    <mergeCell ref="A2:P2"/>
    <mergeCell ref="A3:P3"/>
    <mergeCell ref="A4:D4"/>
    <mergeCell ref="A5:P5"/>
    <mergeCell ref="D23:L23"/>
    <mergeCell ref="D24:L24"/>
    <mergeCell ref="D25:L25"/>
    <mergeCell ref="K16:K17"/>
    <mergeCell ref="C26:C27"/>
    <mergeCell ref="D26:D27"/>
    <mergeCell ref="E26:E27"/>
    <mergeCell ref="F26:F27"/>
    <mergeCell ref="G26:G27"/>
    <mergeCell ref="J26:J27"/>
    <mergeCell ref="H16:J16"/>
    <mergeCell ref="L26:L27"/>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B10:D10"/>
    <mergeCell ref="F10:S10"/>
    <mergeCell ref="F11:S11"/>
    <mergeCell ref="E12:R12"/>
    <mergeCell ref="E13:R13"/>
  </mergeCells>
  <conditionalFormatting sqref="F10">
    <cfRule type="notContainsBlanks" dxfId="74" priority="4">
      <formula>LEN(TRIM(F10))&gt;0</formula>
    </cfRule>
  </conditionalFormatting>
  <conditionalFormatting sqref="F11:S11">
    <cfRule type="expression" dxfId="73" priority="2">
      <formula>E11="NO SE REPORTA"</formula>
    </cfRule>
    <cfRule type="expression" dxfId="72" priority="3">
      <formula>E10="NO APLICA"</formula>
    </cfRule>
  </conditionalFormatting>
  <conditionalFormatting sqref="E12:R12">
    <cfRule type="expression" dxfId="7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formula1>0</formula1>
    </dataValidation>
    <dataValidation type="whole" operator="greaterThanOrEqual" allowBlank="1" showInputMessage="1" showErrorMessage="1" errorTitle="ERROR" error="Valor en PESOS (sin centavos)" sqref="H28:K36">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dimension ref="A1:U177"/>
  <sheetViews>
    <sheetView showGridLines="0" topLeftCell="B1" zoomScale="98" zoomScaleNormal="98" workbookViewId="0">
      <selection activeCell="I20" sqref="I20"/>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 min="7" max="9" width="12" bestFit="1" customWidth="1"/>
    <col min="10" max="10" width="11.42578125" bestFit="1"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104</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5"/>
      <c r="D7" s="5"/>
      <c r="E7" s="17"/>
      <c r="F7" s="5" t="s">
        <v>880</v>
      </c>
      <c r="G7" s="5"/>
      <c r="H7" s="5"/>
      <c r="I7" s="5"/>
      <c r="J7" s="5"/>
      <c r="K7" s="5"/>
    </row>
    <row r="8" spans="1:21" ht="15.75" thickBot="1" x14ac:dyDescent="0.3">
      <c r="B8" s="172" t="s">
        <v>881</v>
      </c>
      <c r="C8" s="210">
        <v>2022</v>
      </c>
      <c r="D8" s="304">
        <f>IF(E10="NO APLICA","NO APLICA",IF(E11="NO SE REPORTA","SIN INFORMACION",+F22))</f>
        <v>1.2454090150250416</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C14" s="87"/>
      <c r="D14" s="5"/>
      <c r="E14" s="5"/>
      <c r="F14" s="5"/>
      <c r="G14" s="5"/>
      <c r="H14" s="5"/>
      <c r="I14" s="5"/>
      <c r="J14" s="5"/>
      <c r="K14" s="5"/>
    </row>
    <row r="15" spans="1:21" ht="15.6" customHeight="1" thickTop="1" thickBot="1" x14ac:dyDescent="0.3">
      <c r="B15" s="1514" t="s">
        <v>888</v>
      </c>
      <c r="C15" s="88"/>
      <c r="D15" s="1408" t="s">
        <v>1189</v>
      </c>
      <c r="E15" s="1409"/>
      <c r="F15" s="1409"/>
      <c r="G15" s="1409"/>
      <c r="H15" s="1409"/>
      <c r="I15" s="1409"/>
      <c r="J15" s="1409"/>
      <c r="K15" s="1410"/>
    </row>
    <row r="16" spans="1:21" ht="15.75" thickBot="1" x14ac:dyDescent="0.3">
      <c r="B16" s="1515"/>
      <c r="C16" s="93"/>
      <c r="D16" s="43" t="s">
        <v>1015</v>
      </c>
      <c r="E16" s="65" t="s">
        <v>909</v>
      </c>
      <c r="F16" s="65" t="s">
        <v>910</v>
      </c>
      <c r="G16" s="65" t="s">
        <v>911</v>
      </c>
      <c r="H16" s="303" t="s">
        <v>912</v>
      </c>
      <c r="I16" s="302"/>
      <c r="J16" s="5"/>
      <c r="K16" s="21"/>
    </row>
    <row r="17" spans="2:11" ht="36.75" thickBot="1" x14ac:dyDescent="0.3">
      <c r="B17" s="1515"/>
      <c r="C17" s="93"/>
      <c r="D17" s="40" t="s">
        <v>1469</v>
      </c>
      <c r="E17" s="1222">
        <v>841</v>
      </c>
      <c r="F17" s="1222">
        <v>599</v>
      </c>
      <c r="G17" s="1223">
        <f>35+1100+80</f>
        <v>1215</v>
      </c>
      <c r="H17" s="186"/>
      <c r="I17" s="302"/>
      <c r="J17" s="5"/>
      <c r="K17" s="21"/>
    </row>
    <row r="18" spans="2:11" ht="24.75" thickBot="1" x14ac:dyDescent="0.3">
      <c r="B18" s="1515"/>
      <c r="C18" s="93"/>
      <c r="D18" s="40" t="s">
        <v>1470</v>
      </c>
      <c r="E18" s="1222">
        <v>841</v>
      </c>
      <c r="F18" s="1223">
        <f>59+72</f>
        <v>131</v>
      </c>
      <c r="G18" s="1222">
        <v>35</v>
      </c>
      <c r="H18" s="333"/>
      <c r="I18" s="302"/>
      <c r="J18" s="5"/>
      <c r="K18" s="21"/>
    </row>
    <row r="19" spans="2:11" ht="15.75" thickBot="1" x14ac:dyDescent="0.3">
      <c r="B19" s="1515"/>
      <c r="C19" s="93"/>
      <c r="D19" s="40" t="s">
        <v>1471</v>
      </c>
      <c r="E19" s="1222"/>
      <c r="F19" s="1222">
        <v>8</v>
      </c>
      <c r="G19" s="1222">
        <v>1100</v>
      </c>
      <c r="H19" s="333"/>
      <c r="I19" s="302"/>
      <c r="J19" s="5"/>
      <c r="K19" s="21"/>
    </row>
    <row r="20" spans="2:11" ht="15.75" thickBot="1" x14ac:dyDescent="0.3">
      <c r="B20" s="1515"/>
      <c r="C20" s="93"/>
      <c r="D20" s="40" t="s">
        <v>1472</v>
      </c>
      <c r="E20" s="1222"/>
      <c r="F20" s="1222">
        <v>607</v>
      </c>
      <c r="G20" s="1222">
        <v>171</v>
      </c>
      <c r="H20" s="333"/>
      <c r="I20" s="302"/>
      <c r="J20" s="5"/>
      <c r="K20" s="21"/>
    </row>
    <row r="21" spans="2:11" ht="15.75" thickBot="1" x14ac:dyDescent="0.3">
      <c r="B21" s="1515"/>
      <c r="C21" s="93"/>
      <c r="D21" s="40" t="s">
        <v>1016</v>
      </c>
      <c r="E21" s="1224">
        <f>SUM(E18:E20)</f>
        <v>841</v>
      </c>
      <c r="F21" s="1224">
        <f>SUM(F18:F20)</f>
        <v>746</v>
      </c>
      <c r="G21" s="1224">
        <f>SUM(G18:G20)</f>
        <v>1306</v>
      </c>
      <c r="H21" s="139">
        <f>SUM(H18:H20)</f>
        <v>0</v>
      </c>
      <c r="I21" s="302"/>
      <c r="J21" s="5"/>
      <c r="K21" s="21"/>
    </row>
    <row r="22" spans="2:11" ht="36.75" thickBot="1" x14ac:dyDescent="0.3">
      <c r="B22" s="1515"/>
      <c r="C22" s="100"/>
      <c r="D22" s="51" t="s">
        <v>104</v>
      </c>
      <c r="E22" s="148">
        <f>+E21/E17</f>
        <v>1</v>
      </c>
      <c r="F22" s="148">
        <f>+F21/F17</f>
        <v>1.2454090150250416</v>
      </c>
      <c r="G22" s="148">
        <f>+G21/G17</f>
        <v>1.0748971193415637</v>
      </c>
      <c r="H22" s="148" t="e">
        <f>+H21/H17</f>
        <v>#DIV/0!</v>
      </c>
      <c r="I22" s="302"/>
      <c r="J22" s="5"/>
      <c r="K22" s="21"/>
    </row>
    <row r="23" spans="2:11" x14ac:dyDescent="0.25">
      <c r="B23" s="1515"/>
      <c r="C23" s="91"/>
      <c r="D23" s="1411" t="s">
        <v>1116</v>
      </c>
      <c r="E23" s="1412"/>
      <c r="F23" s="1412"/>
      <c r="G23" s="1412"/>
      <c r="H23" s="1412"/>
      <c r="I23" s="1412"/>
      <c r="J23" s="1412"/>
      <c r="K23" s="1413"/>
    </row>
    <row r="24" spans="2:11" x14ac:dyDescent="0.25">
      <c r="B24" s="1515"/>
      <c r="C24" s="91"/>
      <c r="D24" s="1411" t="s">
        <v>1473</v>
      </c>
      <c r="E24" s="1412"/>
      <c r="F24" s="1412"/>
      <c r="G24" s="1412"/>
      <c r="H24" s="1412"/>
      <c r="I24" s="1412"/>
      <c r="J24" s="1412"/>
      <c r="K24" s="1413"/>
    </row>
    <row r="25" spans="2:11" ht="15.75" thickBot="1" x14ac:dyDescent="0.3">
      <c r="B25" s="1515"/>
      <c r="C25" s="91"/>
      <c r="D25" s="1438" t="s">
        <v>1196</v>
      </c>
      <c r="E25" s="1439"/>
      <c r="F25" s="1439"/>
      <c r="G25" s="1439"/>
      <c r="H25" s="1439"/>
      <c r="I25" s="1439"/>
      <c r="J25" s="1439"/>
      <c r="K25" s="1440"/>
    </row>
    <row r="26" spans="2:11" ht="68.25" thickBot="1" x14ac:dyDescent="0.3">
      <c r="B26" s="216"/>
      <c r="C26" s="97" t="s">
        <v>842</v>
      </c>
      <c r="D26" s="65" t="s">
        <v>1118</v>
      </c>
      <c r="E26" s="65" t="s">
        <v>1474</v>
      </c>
      <c r="F26" s="65" t="s">
        <v>1475</v>
      </c>
      <c r="G26" s="65" t="s">
        <v>1199</v>
      </c>
      <c r="H26" s="65" t="s">
        <v>1200</v>
      </c>
      <c r="I26" s="65" t="s">
        <v>1122</v>
      </c>
      <c r="J26" s="65" t="s">
        <v>1123</v>
      </c>
      <c r="K26" s="65" t="s">
        <v>846</v>
      </c>
    </row>
    <row r="27" spans="2:11" ht="15.75" thickBot="1" x14ac:dyDescent="0.3">
      <c r="B27" s="216"/>
      <c r="C27" s="2">
        <v>1</v>
      </c>
      <c r="D27" s="592" t="s">
        <v>2314</v>
      </c>
      <c r="E27" s="983" t="s">
        <v>2510</v>
      </c>
      <c r="F27" s="591">
        <v>35</v>
      </c>
      <c r="G27" s="591">
        <v>452665000</v>
      </c>
      <c r="H27" s="591">
        <f>+G27</f>
        <v>452665000</v>
      </c>
      <c r="I27" s="591">
        <v>452665000</v>
      </c>
      <c r="J27" s="591">
        <v>133122000</v>
      </c>
      <c r="K27" s="591"/>
    </row>
    <row r="28" spans="2:11" ht="15.75" thickBot="1" x14ac:dyDescent="0.3">
      <c r="B28" s="216"/>
      <c r="C28" s="2">
        <v>2</v>
      </c>
      <c r="D28" s="592" t="s">
        <v>2380</v>
      </c>
      <c r="E28" s="983" t="s">
        <v>2649</v>
      </c>
      <c r="F28" s="591">
        <v>1100</v>
      </c>
      <c r="G28" s="591">
        <v>10508400000</v>
      </c>
      <c r="H28" s="591">
        <f>+G28</f>
        <v>10508400000</v>
      </c>
      <c r="I28" s="591">
        <v>10508400000</v>
      </c>
      <c r="J28" s="591">
        <v>8182003583</v>
      </c>
      <c r="K28" s="591"/>
    </row>
    <row r="29" spans="2:11" ht="15.75" thickBot="1" x14ac:dyDescent="0.3">
      <c r="B29" s="216"/>
      <c r="C29" s="2">
        <v>3</v>
      </c>
      <c r="D29" s="592" t="s">
        <v>2316</v>
      </c>
      <c r="E29" s="983" t="s">
        <v>2650</v>
      </c>
      <c r="F29" s="591">
        <v>170.55</v>
      </c>
      <c r="G29" s="591">
        <v>900000000</v>
      </c>
      <c r="H29" s="591">
        <f>+G29</f>
        <v>900000000</v>
      </c>
      <c r="I29" s="591">
        <v>900000000</v>
      </c>
      <c r="J29" s="591">
        <v>802783494</v>
      </c>
      <c r="K29" s="591"/>
    </row>
    <row r="30" spans="2:11" ht="15.75" thickBot="1" x14ac:dyDescent="0.3">
      <c r="B30" s="216"/>
      <c r="C30" s="2">
        <v>4</v>
      </c>
      <c r="D30" s="592"/>
      <c r="E30" s="983"/>
      <c r="F30" s="591"/>
      <c r="G30" s="591"/>
      <c r="H30" s="591"/>
      <c r="I30" s="591"/>
      <c r="J30" s="591"/>
      <c r="K30" s="562"/>
    </row>
    <row r="31" spans="2:11" ht="15.75" thickBot="1" x14ac:dyDescent="0.3">
      <c r="B31" s="46"/>
      <c r="C31" s="2"/>
      <c r="D31" s="40" t="s">
        <v>1016</v>
      </c>
      <c r="E31" s="40"/>
      <c r="F31" s="135">
        <f>SUM(F27:F30)</f>
        <v>1305.55</v>
      </c>
      <c r="G31" s="135">
        <f>SUM(G27:G30)</f>
        <v>11861065000</v>
      </c>
      <c r="H31" s="135">
        <f>SUM(H27:H30)</f>
        <v>11861065000</v>
      </c>
      <c r="I31" s="135">
        <f>SUM(I27:I30)</f>
        <v>11861065000</v>
      </c>
      <c r="J31" s="135">
        <f>SUM(J27:J30)</f>
        <v>9117909077</v>
      </c>
      <c r="K31" s="206"/>
    </row>
    <row r="32" spans="2:11" ht="24" customHeight="1" thickBot="1" x14ac:dyDescent="0.3">
      <c r="B32" s="71" t="s">
        <v>924</v>
      </c>
      <c r="C32" s="106"/>
      <c r="D32" s="1435" t="s">
        <v>1476</v>
      </c>
      <c r="E32" s="1436"/>
      <c r="F32" s="1436"/>
      <c r="G32" s="1436"/>
      <c r="H32" s="1436"/>
      <c r="I32" s="1436"/>
      <c r="J32" s="1436"/>
      <c r="K32" s="1437"/>
    </row>
    <row r="33" spans="2:11" ht="24" customHeight="1" thickBot="1" x14ac:dyDescent="0.3">
      <c r="B33" s="71" t="s">
        <v>926</v>
      </c>
      <c r="C33" s="106"/>
      <c r="D33" s="1435" t="s">
        <v>1202</v>
      </c>
      <c r="E33" s="1436"/>
      <c r="F33" s="1436"/>
      <c r="G33" s="1436"/>
      <c r="H33" s="1436"/>
      <c r="I33" s="1436"/>
      <c r="J33" s="1436"/>
      <c r="K33" s="1437"/>
    </row>
    <row r="34" spans="2:11" ht="15.75" thickBot="1" x14ac:dyDescent="0.3">
      <c r="B34" s="1"/>
      <c r="C34" s="75"/>
      <c r="D34" s="5"/>
      <c r="E34" s="5"/>
      <c r="F34" s="5"/>
      <c r="G34" s="5"/>
      <c r="H34" s="5"/>
      <c r="I34" s="5"/>
      <c r="J34" s="5"/>
      <c r="K34" s="5"/>
    </row>
    <row r="35" spans="2:11" ht="24" customHeight="1" thickBot="1" x14ac:dyDescent="0.3">
      <c r="B35" s="1426" t="s">
        <v>928</v>
      </c>
      <c r="C35" s="1427"/>
      <c r="D35" s="1427"/>
      <c r="E35" s="1428"/>
      <c r="F35" s="5"/>
      <c r="G35" s="5"/>
      <c r="H35" s="5"/>
      <c r="I35" s="5"/>
      <c r="J35" s="5"/>
      <c r="K35" s="5"/>
    </row>
    <row r="36" spans="2:11" ht="15.75" thickBot="1" x14ac:dyDescent="0.3">
      <c r="B36" s="1423">
        <v>1</v>
      </c>
      <c r="C36" s="93"/>
      <c r="D36" s="47" t="s">
        <v>929</v>
      </c>
      <c r="E36" s="30" t="s">
        <v>2093</v>
      </c>
      <c r="F36" s="5"/>
      <c r="G36" s="5"/>
      <c r="H36" s="5"/>
      <c r="I36" s="5"/>
      <c r="J36" s="5"/>
      <c r="K36" s="5"/>
    </row>
    <row r="37" spans="2:11" ht="15.75" thickBot="1" x14ac:dyDescent="0.3">
      <c r="B37" s="1424"/>
      <c r="C37" s="93"/>
      <c r="D37" s="40" t="s">
        <v>7</v>
      </c>
      <c r="E37" s="30" t="s">
        <v>2098</v>
      </c>
      <c r="F37" s="5"/>
      <c r="G37" s="5"/>
      <c r="H37" s="5"/>
      <c r="I37" s="5"/>
      <c r="J37" s="5"/>
      <c r="K37" s="5"/>
    </row>
    <row r="38" spans="2:11" ht="15.75" thickBot="1" x14ac:dyDescent="0.3">
      <c r="B38" s="1424"/>
      <c r="C38" s="93"/>
      <c r="D38" s="40" t="s">
        <v>930</v>
      </c>
      <c r="E38" s="30" t="s">
        <v>2113</v>
      </c>
      <c r="F38" s="5"/>
      <c r="G38" s="5"/>
      <c r="H38" s="5"/>
      <c r="I38" s="5"/>
      <c r="J38" s="5"/>
      <c r="K38" s="5"/>
    </row>
    <row r="39" spans="2:11" ht="15.75" thickBot="1" x14ac:dyDescent="0.3">
      <c r="B39" s="1424"/>
      <c r="C39" s="93"/>
      <c r="D39" s="40" t="s">
        <v>9</v>
      </c>
      <c r="E39" s="30" t="s">
        <v>2095</v>
      </c>
      <c r="F39" s="5"/>
      <c r="G39" s="5"/>
      <c r="H39" s="5"/>
      <c r="I39" s="5"/>
      <c r="J39" s="5"/>
      <c r="K39" s="5"/>
    </row>
    <row r="40" spans="2:11" ht="15.75" thickBot="1" x14ac:dyDescent="0.3">
      <c r="B40" s="1424"/>
      <c r="C40" s="93"/>
      <c r="D40" s="40" t="s">
        <v>11</v>
      </c>
      <c r="E40" s="596" t="s">
        <v>2114</v>
      </c>
      <c r="F40" s="5"/>
      <c r="G40" s="5"/>
      <c r="H40" s="5"/>
      <c r="I40" s="5"/>
      <c r="J40" s="5"/>
      <c r="K40" s="5"/>
    </row>
    <row r="41" spans="2:11" ht="15.75" thickBot="1" x14ac:dyDescent="0.3">
      <c r="B41" s="1424"/>
      <c r="C41" s="93"/>
      <c r="D41" s="40" t="s">
        <v>13</v>
      </c>
      <c r="E41" s="30">
        <v>6695278</v>
      </c>
      <c r="F41" s="5"/>
      <c r="G41" s="5"/>
      <c r="H41" s="5"/>
      <c r="I41" s="5"/>
      <c r="J41" s="5"/>
      <c r="K41" s="5"/>
    </row>
    <row r="42" spans="2:11" ht="15.75" thickBot="1" x14ac:dyDescent="0.3">
      <c r="B42" s="1425"/>
      <c r="C42" s="2"/>
      <c r="D42" s="40" t="s">
        <v>931</v>
      </c>
      <c r="E42" s="30" t="s">
        <v>2097</v>
      </c>
      <c r="F42" s="5"/>
      <c r="G42" s="5"/>
      <c r="H42" s="5"/>
      <c r="I42" s="5"/>
      <c r="J42" s="5"/>
      <c r="K42" s="5"/>
    </row>
    <row r="43" spans="2:11" ht="15.75" thickBot="1" x14ac:dyDescent="0.3">
      <c r="B43" s="1"/>
      <c r="C43" s="75"/>
      <c r="D43" s="5"/>
      <c r="E43" s="5"/>
      <c r="F43" s="5"/>
      <c r="G43" s="5"/>
      <c r="H43" s="5"/>
      <c r="I43" s="5"/>
      <c r="J43" s="5"/>
      <c r="K43" s="5"/>
    </row>
    <row r="44" spans="2:11" ht="15.75" thickBot="1" x14ac:dyDescent="0.3">
      <c r="B44" s="1426" t="s">
        <v>932</v>
      </c>
      <c r="C44" s="1427"/>
      <c r="D44" s="1427"/>
      <c r="E44" s="1428"/>
      <c r="F44" s="5"/>
      <c r="G44" s="5"/>
      <c r="H44" s="5"/>
      <c r="I44" s="5"/>
      <c r="J44" s="5"/>
      <c r="K44" s="5"/>
    </row>
    <row r="45" spans="2:11" ht="15.75" thickBot="1" x14ac:dyDescent="0.3">
      <c r="B45" s="1423">
        <v>1</v>
      </c>
      <c r="C45" s="93"/>
      <c r="D45" s="47" t="s">
        <v>929</v>
      </c>
      <c r="E45" s="217" t="s">
        <v>933</v>
      </c>
      <c r="F45" s="5"/>
      <c r="G45" s="5"/>
      <c r="H45" s="5"/>
      <c r="I45" s="5"/>
      <c r="J45" s="5"/>
      <c r="K45" s="5"/>
    </row>
    <row r="46" spans="2:11" ht="15.75" thickBot="1" x14ac:dyDescent="0.3">
      <c r="B46" s="1424"/>
      <c r="C46" s="93"/>
      <c r="D46" s="40" t="s">
        <v>7</v>
      </c>
      <c r="E46" s="217" t="s">
        <v>1025</v>
      </c>
      <c r="F46" s="5"/>
      <c r="G46" s="5"/>
      <c r="H46" s="5"/>
      <c r="I46" s="5"/>
      <c r="J46" s="5"/>
      <c r="K46" s="5"/>
    </row>
    <row r="47" spans="2:11" ht="15.75" thickBot="1" x14ac:dyDescent="0.3">
      <c r="B47" s="1424"/>
      <c r="C47" s="93"/>
      <c r="D47" s="40" t="s">
        <v>930</v>
      </c>
      <c r="E47" s="237"/>
      <c r="F47" s="5"/>
      <c r="G47" s="5"/>
      <c r="H47" s="5"/>
      <c r="I47" s="5"/>
      <c r="J47" s="5"/>
      <c r="K47" s="5"/>
    </row>
    <row r="48" spans="2:11" ht="15.75" thickBot="1" x14ac:dyDescent="0.3">
      <c r="B48" s="1424"/>
      <c r="C48" s="93"/>
      <c r="D48" s="40" t="s">
        <v>9</v>
      </c>
      <c r="E48" s="237"/>
      <c r="F48" s="5"/>
      <c r="G48" s="5"/>
      <c r="H48" s="5"/>
      <c r="I48" s="5"/>
      <c r="J48" s="5"/>
      <c r="K48" s="5"/>
    </row>
    <row r="49" spans="2:11" ht="15.75" thickBot="1" x14ac:dyDescent="0.3">
      <c r="B49" s="1424"/>
      <c r="C49" s="93"/>
      <c r="D49" s="40" t="s">
        <v>11</v>
      </c>
      <c r="E49" s="237"/>
      <c r="F49" s="5"/>
      <c r="G49" s="5"/>
      <c r="H49" s="5"/>
      <c r="I49" s="5"/>
      <c r="J49" s="5"/>
      <c r="K49" s="5"/>
    </row>
    <row r="50" spans="2:11" ht="15.75" thickBot="1" x14ac:dyDescent="0.3">
      <c r="B50" s="1424"/>
      <c r="C50" s="93"/>
      <c r="D50" s="40" t="s">
        <v>13</v>
      </c>
      <c r="E50" s="237"/>
      <c r="F50" s="5"/>
      <c r="G50" s="5"/>
      <c r="H50" s="5"/>
      <c r="I50" s="5"/>
      <c r="J50" s="5"/>
      <c r="K50" s="5"/>
    </row>
    <row r="51" spans="2:11" ht="15.75" thickBot="1" x14ac:dyDescent="0.3">
      <c r="B51" s="1425"/>
      <c r="C51" s="2"/>
      <c r="D51" s="40" t="s">
        <v>931</v>
      </c>
      <c r="E51" s="237"/>
      <c r="F51" s="5"/>
      <c r="G51" s="5"/>
      <c r="H51" s="5"/>
      <c r="I51" s="5"/>
      <c r="J51" s="5"/>
      <c r="K51" s="5"/>
    </row>
    <row r="52" spans="2:11" ht="15.75" thickBot="1" x14ac:dyDescent="0.3">
      <c r="B52" s="1"/>
      <c r="C52" s="75"/>
      <c r="D52" s="5"/>
      <c r="E52" s="5"/>
      <c r="F52" s="5"/>
      <c r="G52" s="5"/>
      <c r="H52" s="5"/>
      <c r="I52" s="5"/>
      <c r="J52" s="5"/>
      <c r="K52" s="5"/>
    </row>
    <row r="53" spans="2:11" ht="15" customHeight="1" thickBot="1" x14ac:dyDescent="0.3">
      <c r="B53" s="121" t="s">
        <v>935</v>
      </c>
      <c r="C53" s="122"/>
      <c r="D53" s="122"/>
      <c r="E53" s="123"/>
      <c r="F53" s="5"/>
      <c r="G53" s="5"/>
      <c r="H53" s="5"/>
      <c r="I53" s="5"/>
      <c r="J53" s="5"/>
      <c r="K53" s="5"/>
    </row>
    <row r="54" spans="2:11" ht="24.75" thickBot="1" x14ac:dyDescent="0.3">
      <c r="B54" s="46" t="s">
        <v>936</v>
      </c>
      <c r="C54" s="40" t="s">
        <v>937</v>
      </c>
      <c r="D54" s="40" t="s">
        <v>938</v>
      </c>
      <c r="E54" s="40" t="s">
        <v>939</v>
      </c>
      <c r="F54" s="5"/>
      <c r="G54" s="5"/>
      <c r="H54" s="5"/>
      <c r="I54" s="5"/>
      <c r="J54" s="5"/>
    </row>
    <row r="55" spans="2:11" ht="72.75" thickBot="1" x14ac:dyDescent="0.3">
      <c r="B55" s="48">
        <v>42401</v>
      </c>
      <c r="C55" s="40">
        <v>0.01</v>
      </c>
      <c r="D55" s="49" t="s">
        <v>1477</v>
      </c>
      <c r="E55" s="40"/>
      <c r="F55" s="5"/>
      <c r="G55" s="5"/>
      <c r="H55" s="5"/>
      <c r="I55" s="5"/>
      <c r="J55" s="5"/>
    </row>
    <row r="56" spans="2:11" ht="15.75" thickBot="1" x14ac:dyDescent="0.3">
      <c r="B56" s="3"/>
      <c r="C56" s="94"/>
      <c r="D56" s="5"/>
      <c r="E56" s="5"/>
      <c r="F56" s="5"/>
      <c r="G56" s="5"/>
      <c r="H56" s="5"/>
      <c r="I56" s="5"/>
      <c r="J56" s="5"/>
      <c r="K56" s="5"/>
    </row>
    <row r="57" spans="2:11" x14ac:dyDescent="0.25">
      <c r="B57" s="128" t="s">
        <v>846</v>
      </c>
      <c r="C57" s="95"/>
      <c r="D57" s="5"/>
      <c r="E57" s="5"/>
      <c r="F57" s="5"/>
      <c r="G57" s="5"/>
      <c r="H57" s="5"/>
      <c r="I57" s="5"/>
      <c r="J57" s="5"/>
      <c r="K57" s="5"/>
    </row>
    <row r="58" spans="2:11" x14ac:dyDescent="0.25">
      <c r="B58" s="1465"/>
      <c r="C58" s="1466"/>
      <c r="D58" s="1466"/>
      <c r="E58" s="1467"/>
      <c r="F58" s="5"/>
      <c r="G58" s="5"/>
      <c r="H58" s="5"/>
      <c r="I58" s="5"/>
      <c r="J58" s="5"/>
      <c r="K58" s="5"/>
    </row>
    <row r="59" spans="2:11" x14ac:dyDescent="0.25">
      <c r="B59" s="1468"/>
      <c r="C59" s="1469"/>
      <c r="D59" s="1469"/>
      <c r="E59" s="1470"/>
      <c r="F59" s="5"/>
      <c r="G59" s="5"/>
      <c r="H59" s="5"/>
      <c r="I59" s="5"/>
      <c r="J59" s="5"/>
      <c r="K59" s="5"/>
    </row>
    <row r="60" spans="2:11" x14ac:dyDescent="0.25">
      <c r="B60" s="1"/>
      <c r="C60" s="75"/>
      <c r="D60" s="5"/>
      <c r="E60" s="5"/>
      <c r="F60" s="5"/>
      <c r="G60" s="5"/>
      <c r="H60" s="5"/>
      <c r="I60" s="5"/>
      <c r="J60" s="5"/>
      <c r="K60" s="5"/>
    </row>
    <row r="61" spans="2:11" ht="15.75" thickBot="1" x14ac:dyDescent="0.3">
      <c r="B61" s="5"/>
      <c r="D61" s="5"/>
      <c r="E61" s="5"/>
      <c r="F61" s="5"/>
      <c r="G61" s="5"/>
      <c r="H61" s="5"/>
      <c r="I61" s="5"/>
      <c r="J61" s="5"/>
      <c r="K61" s="5"/>
    </row>
    <row r="62" spans="2:11" ht="24.75" thickBot="1" x14ac:dyDescent="0.3">
      <c r="B62" s="50" t="s">
        <v>1381</v>
      </c>
      <c r="C62" s="96"/>
      <c r="D62" s="5"/>
      <c r="E62" s="5"/>
      <c r="F62" s="5"/>
      <c r="G62" s="5"/>
      <c r="H62" s="5"/>
      <c r="I62" s="5"/>
      <c r="J62" s="5"/>
      <c r="K62" s="5"/>
    </row>
    <row r="63" spans="2:11" ht="15.75" thickBot="1" x14ac:dyDescent="0.3">
      <c r="B63" s="37"/>
      <c r="C63" s="87"/>
      <c r="D63" s="5"/>
      <c r="E63" s="5"/>
      <c r="F63" s="5"/>
      <c r="G63" s="5"/>
      <c r="H63" s="5"/>
      <c r="I63" s="5"/>
      <c r="J63" s="5"/>
      <c r="K63" s="5"/>
    </row>
    <row r="64" spans="2:11" ht="72.75" thickBot="1" x14ac:dyDescent="0.3">
      <c r="B64" s="51" t="s">
        <v>942</v>
      </c>
      <c r="C64" s="97"/>
      <c r="D64" s="43" t="s">
        <v>1478</v>
      </c>
      <c r="E64" s="5"/>
      <c r="F64" s="5"/>
      <c r="G64" s="5"/>
      <c r="H64" s="5"/>
      <c r="I64" s="5"/>
      <c r="J64" s="5"/>
      <c r="K64" s="5"/>
    </row>
    <row r="65" spans="2:11" x14ac:dyDescent="0.25">
      <c r="B65" s="1423" t="s">
        <v>944</v>
      </c>
      <c r="C65" s="93"/>
      <c r="D65" s="52" t="s">
        <v>945</v>
      </c>
      <c r="E65" s="5"/>
      <c r="F65" s="5"/>
      <c r="G65" s="5"/>
      <c r="H65" s="5"/>
      <c r="I65" s="5"/>
      <c r="J65" s="5"/>
      <c r="K65" s="5"/>
    </row>
    <row r="66" spans="2:11" ht="96" x14ac:dyDescent="0.25">
      <c r="B66" s="1424"/>
      <c r="C66" s="93"/>
      <c r="D66" s="45" t="s">
        <v>1479</v>
      </c>
      <c r="E66" s="5"/>
      <c r="F66" s="5"/>
      <c r="G66" s="5"/>
      <c r="H66" s="5"/>
      <c r="I66" s="5"/>
      <c r="J66" s="5"/>
      <c r="K66" s="5"/>
    </row>
    <row r="67" spans="2:11" ht="36" x14ac:dyDescent="0.25">
      <c r="B67" s="1424"/>
      <c r="C67" s="93"/>
      <c r="D67" s="45" t="s">
        <v>1480</v>
      </c>
      <c r="E67" s="5"/>
      <c r="F67" s="5"/>
      <c r="G67" s="5"/>
      <c r="H67" s="5"/>
      <c r="I67" s="5"/>
      <c r="J67" s="5"/>
      <c r="K67" s="5"/>
    </row>
    <row r="68" spans="2:11" x14ac:dyDescent="0.25">
      <c r="B68" s="1424"/>
      <c r="C68" s="93"/>
      <c r="D68" s="52" t="s">
        <v>948</v>
      </c>
      <c r="E68" s="5"/>
      <c r="F68" s="5"/>
      <c r="G68" s="5"/>
      <c r="H68" s="5"/>
      <c r="I68" s="5"/>
      <c r="J68" s="5"/>
      <c r="K68" s="5"/>
    </row>
    <row r="69" spans="2:11" x14ac:dyDescent="0.25">
      <c r="B69" s="1424"/>
      <c r="C69" s="93"/>
      <c r="D69" s="45" t="s">
        <v>950</v>
      </c>
      <c r="E69" s="5"/>
      <c r="F69" s="5"/>
      <c r="G69" s="5"/>
      <c r="H69" s="5"/>
      <c r="I69" s="5"/>
      <c r="J69" s="5"/>
      <c r="K69" s="5"/>
    </row>
    <row r="70" spans="2:11" x14ac:dyDescent="0.25">
      <c r="B70" s="1424"/>
      <c r="C70" s="93"/>
      <c r="D70" s="52" t="s">
        <v>1172</v>
      </c>
      <c r="E70" s="5"/>
      <c r="F70" s="5"/>
      <c r="G70" s="5"/>
      <c r="H70" s="5"/>
      <c r="I70" s="5"/>
      <c r="J70" s="5"/>
      <c r="K70" s="5"/>
    </row>
    <row r="71" spans="2:11" ht="36" x14ac:dyDescent="0.25">
      <c r="B71" s="1424"/>
      <c r="C71" s="93"/>
      <c r="D71" s="45" t="s">
        <v>1384</v>
      </c>
      <c r="E71" s="5"/>
      <c r="F71" s="5"/>
      <c r="G71" s="5"/>
      <c r="H71" s="5"/>
      <c r="I71" s="5"/>
      <c r="J71" s="5"/>
      <c r="K71" s="5"/>
    </row>
    <row r="72" spans="2:11" x14ac:dyDescent="0.25">
      <c r="B72" s="1424"/>
      <c r="C72" s="93"/>
      <c r="D72" s="45" t="s">
        <v>1481</v>
      </c>
      <c r="E72" s="5"/>
      <c r="F72" s="5"/>
      <c r="G72" s="5"/>
      <c r="H72" s="5"/>
      <c r="I72" s="5"/>
      <c r="J72" s="5"/>
      <c r="K72" s="5"/>
    </row>
    <row r="73" spans="2:11" ht="15.75" thickBot="1" x14ac:dyDescent="0.3">
      <c r="B73" s="1425"/>
      <c r="C73" s="2"/>
      <c r="D73" s="67"/>
      <c r="E73" s="5"/>
      <c r="F73" s="5"/>
      <c r="G73" s="5"/>
      <c r="H73" s="5"/>
      <c r="I73" s="5"/>
      <c r="J73" s="5"/>
      <c r="K73" s="5"/>
    </row>
    <row r="74" spans="2:11" ht="24.75" thickBot="1" x14ac:dyDescent="0.3">
      <c r="B74" s="46" t="s">
        <v>957</v>
      </c>
      <c r="C74" s="2"/>
      <c r="D74" s="40"/>
      <c r="E74" s="5"/>
      <c r="F74" s="5"/>
      <c r="G74" s="5"/>
      <c r="H74" s="5"/>
      <c r="I74" s="5"/>
      <c r="J74" s="5"/>
      <c r="K74" s="5"/>
    </row>
    <row r="75" spans="2:11" ht="72" x14ac:dyDescent="0.25">
      <c r="B75" s="1423" t="s">
        <v>958</v>
      </c>
      <c r="C75" s="93"/>
      <c r="D75" s="45" t="s">
        <v>1482</v>
      </c>
      <c r="E75" s="5"/>
      <c r="F75" s="5"/>
      <c r="G75" s="5"/>
      <c r="H75" s="5"/>
      <c r="I75" s="5"/>
      <c r="J75" s="5"/>
      <c r="K75" s="5"/>
    </row>
    <row r="76" spans="2:11" ht="132" x14ac:dyDescent="0.25">
      <c r="B76" s="1424"/>
      <c r="C76" s="93"/>
      <c r="D76" s="45" t="s">
        <v>1483</v>
      </c>
      <c r="E76" s="5"/>
      <c r="F76" s="5"/>
      <c r="G76" s="5"/>
      <c r="H76" s="5"/>
      <c r="I76" s="5"/>
      <c r="J76" s="5"/>
      <c r="K76" s="5"/>
    </row>
    <row r="77" spans="2:11" ht="108" x14ac:dyDescent="0.25">
      <c r="B77" s="1424"/>
      <c r="C77" s="93"/>
      <c r="D77" s="45" t="s">
        <v>1484</v>
      </c>
      <c r="E77" s="5"/>
      <c r="F77" s="5"/>
      <c r="G77" s="5"/>
      <c r="H77" s="5"/>
      <c r="I77" s="5"/>
      <c r="J77" s="5"/>
      <c r="K77" s="5"/>
    </row>
    <row r="78" spans="2:11" ht="84" x14ac:dyDescent="0.25">
      <c r="B78" s="1424"/>
      <c r="C78" s="93"/>
      <c r="D78" s="45" t="s">
        <v>1485</v>
      </c>
      <c r="E78" s="5"/>
      <c r="F78" s="5"/>
      <c r="G78" s="5"/>
      <c r="H78" s="5"/>
      <c r="I78" s="5"/>
      <c r="J78" s="5"/>
      <c r="K78" s="5"/>
    </row>
    <row r="79" spans="2:11" ht="108" x14ac:dyDescent="0.25">
      <c r="B79" s="1424"/>
      <c r="C79" s="93"/>
      <c r="D79" s="45" t="s">
        <v>1486</v>
      </c>
      <c r="E79" s="5"/>
      <c r="F79" s="5"/>
      <c r="G79" s="5"/>
      <c r="H79" s="5"/>
      <c r="I79" s="5"/>
      <c r="J79" s="5"/>
      <c r="K79" s="5"/>
    </row>
    <row r="80" spans="2:11" ht="60" x14ac:dyDescent="0.25">
      <c r="B80" s="1424"/>
      <c r="C80" s="93"/>
      <c r="D80" s="45" t="s">
        <v>1487</v>
      </c>
      <c r="E80" s="5"/>
      <c r="F80" s="5"/>
      <c r="G80" s="5"/>
      <c r="H80" s="5"/>
      <c r="I80" s="5"/>
      <c r="J80" s="5"/>
      <c r="K80" s="5"/>
    </row>
    <row r="81" spans="2:11" ht="84.75" thickBot="1" x14ac:dyDescent="0.3">
      <c r="B81" s="1425"/>
      <c r="C81" s="2"/>
      <c r="D81" s="40" t="s">
        <v>1488</v>
      </c>
      <c r="E81" s="5"/>
      <c r="F81" s="5"/>
      <c r="G81" s="5"/>
      <c r="H81" s="5"/>
      <c r="I81" s="5"/>
      <c r="J81" s="5"/>
      <c r="K81" s="5"/>
    </row>
    <row r="82" spans="2:11" ht="24" x14ac:dyDescent="0.25">
      <c r="B82" s="1423" t="s">
        <v>975</v>
      </c>
      <c r="C82" s="93"/>
      <c r="D82" s="52" t="s">
        <v>104</v>
      </c>
      <c r="E82" s="5"/>
      <c r="F82" s="5"/>
      <c r="G82" s="5"/>
      <c r="H82" s="5"/>
      <c r="I82" s="5"/>
      <c r="J82" s="5"/>
      <c r="K82" s="5"/>
    </row>
    <row r="83" spans="2:11" x14ac:dyDescent="0.25">
      <c r="B83" s="1424"/>
      <c r="C83" s="93"/>
      <c r="D83" s="16"/>
      <c r="E83" s="5"/>
      <c r="F83" s="5"/>
      <c r="G83" s="5"/>
      <c r="H83" s="5"/>
      <c r="I83" s="5"/>
      <c r="J83" s="5"/>
      <c r="K83" s="5"/>
    </row>
    <row r="84" spans="2:11" x14ac:dyDescent="0.25">
      <c r="B84" s="1424"/>
      <c r="C84" s="93"/>
      <c r="D84" s="45" t="s">
        <v>976</v>
      </c>
      <c r="E84" s="5"/>
      <c r="F84" s="5"/>
      <c r="G84" s="5"/>
      <c r="H84" s="5"/>
      <c r="I84" s="5"/>
      <c r="J84" s="5"/>
      <c r="K84" s="5"/>
    </row>
    <row r="85" spans="2:11" ht="49.5" x14ac:dyDescent="0.25">
      <c r="B85" s="1424"/>
      <c r="C85" s="93"/>
      <c r="D85" s="45" t="s">
        <v>1489</v>
      </c>
      <c r="E85" s="5"/>
      <c r="F85" s="5"/>
      <c r="G85" s="5"/>
      <c r="H85" s="5"/>
      <c r="I85" s="5"/>
      <c r="J85" s="5"/>
      <c r="K85" s="5"/>
    </row>
    <row r="86" spans="2:11" ht="37.5" x14ac:dyDescent="0.25">
      <c r="B86" s="1424"/>
      <c r="C86" s="93"/>
      <c r="D86" s="45" t="s">
        <v>1490</v>
      </c>
      <c r="E86" s="5"/>
      <c r="F86" s="5"/>
      <c r="G86" s="5"/>
      <c r="H86" s="5"/>
      <c r="I86" s="5"/>
      <c r="J86" s="5"/>
      <c r="K86" s="5"/>
    </row>
    <row r="87" spans="2:11" ht="37.5" x14ac:dyDescent="0.25">
      <c r="B87" s="1424"/>
      <c r="C87" s="93"/>
      <c r="D87" s="45" t="s">
        <v>1491</v>
      </c>
      <c r="E87" s="5"/>
      <c r="F87" s="5"/>
      <c r="G87" s="5"/>
      <c r="H87" s="5"/>
      <c r="I87" s="5"/>
      <c r="J87" s="5"/>
      <c r="K87" s="5"/>
    </row>
    <row r="88" spans="2:11" ht="84" x14ac:dyDescent="0.25">
      <c r="B88" s="1424"/>
      <c r="C88" s="93"/>
      <c r="D88" s="53" t="s">
        <v>1142</v>
      </c>
      <c r="E88" s="5"/>
      <c r="F88" s="5"/>
      <c r="G88" s="5"/>
      <c r="H88" s="5"/>
      <c r="I88" s="5"/>
      <c r="J88" s="5"/>
      <c r="K88" s="5"/>
    </row>
    <row r="89" spans="2:11" x14ac:dyDescent="0.25">
      <c r="B89" s="1424"/>
      <c r="C89" s="93"/>
      <c r="D89" s="52" t="s">
        <v>1116</v>
      </c>
      <c r="E89" s="5"/>
      <c r="F89" s="5"/>
      <c r="G89" s="5"/>
      <c r="H89" s="5"/>
      <c r="I89" s="5"/>
      <c r="J89" s="5"/>
      <c r="K89" s="5"/>
    </row>
    <row r="90" spans="2:11" ht="36" x14ac:dyDescent="0.25">
      <c r="B90" s="1424"/>
      <c r="C90" s="93"/>
      <c r="D90" s="52" t="s">
        <v>1492</v>
      </c>
      <c r="E90" s="5"/>
      <c r="F90" s="5"/>
      <c r="G90" s="5"/>
      <c r="H90" s="5"/>
      <c r="I90" s="5"/>
      <c r="J90" s="5"/>
      <c r="K90" s="5"/>
    </row>
    <row r="91" spans="2:11" x14ac:dyDescent="0.25">
      <c r="B91" s="1424"/>
      <c r="C91" s="93"/>
      <c r="D91" s="52" t="s">
        <v>1493</v>
      </c>
      <c r="E91" s="5"/>
      <c r="F91" s="5"/>
      <c r="G91" s="5"/>
      <c r="H91" s="5"/>
      <c r="I91" s="5"/>
      <c r="J91" s="5"/>
      <c r="K91" s="5"/>
    </row>
    <row r="92" spans="2:11" x14ac:dyDescent="0.25">
      <c r="B92" s="1424"/>
      <c r="C92" s="93"/>
      <c r="D92" s="16"/>
      <c r="E92" s="5"/>
      <c r="F92" s="5"/>
      <c r="G92" s="5"/>
      <c r="H92" s="5"/>
      <c r="I92" s="5"/>
      <c r="J92" s="5"/>
      <c r="K92" s="5"/>
    </row>
    <row r="93" spans="2:11" x14ac:dyDescent="0.25">
      <c r="B93" s="1424"/>
      <c r="C93" s="93"/>
      <c r="D93" s="45" t="s">
        <v>976</v>
      </c>
      <c r="E93" s="5"/>
      <c r="F93" s="5"/>
      <c r="G93" s="5"/>
      <c r="H93" s="5"/>
      <c r="I93" s="5"/>
      <c r="J93" s="5"/>
      <c r="K93" s="5"/>
    </row>
    <row r="94" spans="2:11" ht="37.5" x14ac:dyDescent="0.25">
      <c r="B94" s="1424"/>
      <c r="C94" s="93"/>
      <c r="D94" s="45" t="s">
        <v>1494</v>
      </c>
      <c r="E94" s="5"/>
      <c r="F94" s="5"/>
      <c r="G94" s="5"/>
      <c r="H94" s="5"/>
      <c r="I94" s="5"/>
      <c r="J94" s="5"/>
      <c r="K94" s="5"/>
    </row>
    <row r="95" spans="2:11" ht="62.25" thickBot="1" x14ac:dyDescent="0.3">
      <c r="B95" s="1425"/>
      <c r="C95" s="2"/>
      <c r="D95" s="40" t="s">
        <v>1495</v>
      </c>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sheetData>
  <sheetProtection insertRows="0"/>
  <mergeCells count="25">
    <mergeCell ref="A1:P1"/>
    <mergeCell ref="A2:P2"/>
    <mergeCell ref="A3:P3"/>
    <mergeCell ref="A4:D4"/>
    <mergeCell ref="A5:P5"/>
    <mergeCell ref="B58:E59"/>
    <mergeCell ref="B65:B73"/>
    <mergeCell ref="B75:B81"/>
    <mergeCell ref="B82:B95"/>
    <mergeCell ref="D15:K15"/>
    <mergeCell ref="D23:K23"/>
    <mergeCell ref="D24:K24"/>
    <mergeCell ref="D25:K25"/>
    <mergeCell ref="D32:K32"/>
    <mergeCell ref="D33:K33"/>
    <mergeCell ref="B35:E35"/>
    <mergeCell ref="B36:B42"/>
    <mergeCell ref="B44:E44"/>
    <mergeCell ref="B45:B51"/>
    <mergeCell ref="B15:B25"/>
    <mergeCell ref="B10:D10"/>
    <mergeCell ref="F10:S10"/>
    <mergeCell ref="F11:S11"/>
    <mergeCell ref="E12:R12"/>
    <mergeCell ref="E13:R13"/>
  </mergeCells>
  <conditionalFormatting sqref="F10">
    <cfRule type="notContainsBlanks" dxfId="70" priority="4">
      <formula>LEN(TRIM(F10))&gt;0</formula>
    </cfRule>
  </conditionalFormatting>
  <conditionalFormatting sqref="F11:S11">
    <cfRule type="expression" dxfId="69" priority="2">
      <formula>E11="NO SE REPORTA"</formula>
    </cfRule>
    <cfRule type="expression" dxfId="68" priority="3">
      <formula>E10="NO APLICA"</formula>
    </cfRule>
  </conditionalFormatting>
  <conditionalFormatting sqref="E12:R12">
    <cfRule type="expression" dxfId="67" priority="1">
      <formula>E11="SI SE REPORTA"</formula>
    </cfRule>
  </conditionalFormatting>
  <dataValidations count="4">
    <dataValidation type="whole" operator="greaterThanOrEqual" allowBlank="1" showInputMessage="1" showErrorMessage="1" errorTitle="ERROR" error="Valor en HECTAREAS (sin decimales)" sqref="E17:H20 F27:F3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 type="whole" operator="greaterThanOrEqual" allowBlank="1" showInputMessage="1" showErrorMessage="1" errorTitle="ERROR" error="Valor en PESOS (sin centavos)" sqref="G27:J30">
      <formula1>0</formula1>
    </dataValidation>
  </dataValidations>
  <hyperlinks>
    <hyperlink ref="B9" location="'ANEXO 3'!A1" display="VOLVER AL INDICE"/>
    <hyperlink ref="E40" r:id="rId1"/>
  </hyperlinks>
  <pageMargins left="0.25" right="0.25" top="0.75" bottom="0.75" header="0.3" footer="0.3"/>
  <pageSetup paperSize="178" orientation="landscape" horizontalDpi="1200" verticalDpi="1200" r:id="rId2"/>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U178"/>
  <sheetViews>
    <sheetView showGridLines="0" topLeftCell="B1" zoomScale="98" zoomScaleNormal="98" workbookViewId="0">
      <selection activeCell="A4" sqref="A4:D4"/>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5" customWidth="1"/>
    <col min="10" max="10" width="33.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105</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2022</v>
      </c>
      <c r="D8" s="214">
        <f>IF(E10="NO APLICA","NO APLICA",IF(E11="NO SE REPORTA","SIN INFORMACION",+I30))</f>
        <v>0</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 customHeight="1" thickTop="1" x14ac:dyDescent="0.25">
      <c r="B15" s="1478" t="s">
        <v>888</v>
      </c>
      <c r="C15" s="88"/>
      <c r="D15" s="1408" t="s">
        <v>1189</v>
      </c>
      <c r="E15" s="1409"/>
      <c r="F15" s="1409"/>
      <c r="G15" s="1409"/>
      <c r="H15" s="1409"/>
      <c r="I15" s="1409"/>
      <c r="J15" s="1409"/>
      <c r="K15" s="1410"/>
    </row>
    <row r="16" spans="1:21" ht="15.75" thickBot="1" x14ac:dyDescent="0.3">
      <c r="B16" s="1403"/>
      <c r="C16" s="91"/>
      <c r="D16" s="1562" t="s">
        <v>1496</v>
      </c>
      <c r="E16" s="1563"/>
      <c r="F16" s="1563"/>
      <c r="G16" s="1563"/>
      <c r="H16" s="1563"/>
      <c r="I16" s="1563"/>
      <c r="J16" s="1563"/>
      <c r="K16" s="1564"/>
    </row>
    <row r="17" spans="2:11" ht="15.75" thickBot="1" x14ac:dyDescent="0.3">
      <c r="B17" s="1403"/>
      <c r="C17" s="89" t="s">
        <v>842</v>
      </c>
      <c r="D17" s="38" t="s">
        <v>1099</v>
      </c>
      <c r="E17" s="38" t="s">
        <v>909</v>
      </c>
      <c r="F17" s="38" t="s">
        <v>910</v>
      </c>
      <c r="G17" s="38" t="s">
        <v>911</v>
      </c>
      <c r="H17" s="38" t="s">
        <v>912</v>
      </c>
      <c r="I17" s="38" t="s">
        <v>1497</v>
      </c>
      <c r="K17" s="21"/>
    </row>
    <row r="18" spans="2:11" ht="24.75" thickBot="1" x14ac:dyDescent="0.3">
      <c r="B18" s="1403"/>
      <c r="C18" s="90" t="s">
        <v>1017</v>
      </c>
      <c r="D18" s="40" t="s">
        <v>1498</v>
      </c>
      <c r="E18" s="6">
        <v>0</v>
      </c>
      <c r="F18" s="6">
        <v>1</v>
      </c>
      <c r="G18" s="6">
        <v>1</v>
      </c>
      <c r="H18" s="6">
        <v>1</v>
      </c>
      <c r="I18" s="42">
        <f>SUM(E18:H18)</f>
        <v>3</v>
      </c>
      <c r="K18" s="21"/>
    </row>
    <row r="19" spans="2:11" ht="15.75" thickBot="1" x14ac:dyDescent="0.3">
      <c r="B19" s="1403"/>
      <c r="C19" s="91"/>
      <c r="D19" s="1438" t="s">
        <v>1499</v>
      </c>
      <c r="E19" s="1439"/>
      <c r="F19" s="1439"/>
      <c r="G19" s="1439"/>
      <c r="H19" s="1439"/>
      <c r="I19" s="1439"/>
      <c r="J19" s="1439"/>
      <c r="K19" s="1440"/>
    </row>
    <row r="20" spans="2:11" ht="15" customHeight="1" thickBot="1" x14ac:dyDescent="0.3">
      <c r="B20" s="216"/>
      <c r="C20" s="1485" t="s">
        <v>842</v>
      </c>
      <c r="D20" s="1423" t="s">
        <v>1118</v>
      </c>
      <c r="E20" s="1423" t="s">
        <v>1500</v>
      </c>
      <c r="F20" s="1435" t="s">
        <v>1501</v>
      </c>
      <c r="G20" s="1436"/>
      <c r="H20" s="1436"/>
      <c r="I20" s="1436"/>
      <c r="J20" s="1437"/>
      <c r="K20" s="113"/>
    </row>
    <row r="21" spans="2:11" ht="34.5" thickBot="1" x14ac:dyDescent="0.3">
      <c r="B21" s="216"/>
      <c r="C21" s="1486"/>
      <c r="D21" s="1425"/>
      <c r="E21" s="1425"/>
      <c r="F21" s="64" t="s">
        <v>1502</v>
      </c>
      <c r="G21" s="64" t="s">
        <v>1503</v>
      </c>
      <c r="H21" s="64" t="s">
        <v>1504</v>
      </c>
      <c r="I21" s="64" t="s">
        <v>1505</v>
      </c>
      <c r="J21" s="64" t="s">
        <v>846</v>
      </c>
      <c r="K21" s="114"/>
    </row>
    <row r="22" spans="2:11" ht="36.75" thickBot="1" x14ac:dyDescent="0.3">
      <c r="B22" s="216"/>
      <c r="C22" s="30"/>
      <c r="D22" s="30" t="s">
        <v>2118</v>
      </c>
      <c r="E22" s="334" t="s">
        <v>1506</v>
      </c>
      <c r="F22" s="589">
        <v>0.1</v>
      </c>
      <c r="G22" s="589">
        <v>0</v>
      </c>
      <c r="H22" s="589">
        <v>0.34</v>
      </c>
      <c r="I22" s="663">
        <v>0</v>
      </c>
      <c r="J22" s="335"/>
      <c r="K22" s="114"/>
    </row>
    <row r="23" spans="2:11" ht="60.75" thickBot="1" x14ac:dyDescent="0.3">
      <c r="B23" s="216"/>
      <c r="C23" s="269"/>
      <c r="D23" s="30" t="s">
        <v>2118</v>
      </c>
      <c r="E23" s="334" t="s">
        <v>1507</v>
      </c>
      <c r="F23" s="589">
        <v>0</v>
      </c>
      <c r="G23" s="589">
        <v>0</v>
      </c>
      <c r="H23" s="589">
        <v>0.33</v>
      </c>
      <c r="I23" s="663">
        <v>0</v>
      </c>
      <c r="J23" s="29"/>
      <c r="K23" s="114"/>
    </row>
    <row r="24" spans="2:11" ht="36.75" thickBot="1" x14ac:dyDescent="0.3">
      <c r="B24" s="216"/>
      <c r="C24" s="269"/>
      <c r="D24" s="30" t="s">
        <v>2118</v>
      </c>
      <c r="E24" s="334" t="s">
        <v>1508</v>
      </c>
      <c r="F24" s="589">
        <v>0</v>
      </c>
      <c r="G24" s="589">
        <v>0</v>
      </c>
      <c r="H24" s="589">
        <v>0.33</v>
      </c>
      <c r="I24" s="663">
        <v>0</v>
      </c>
      <c r="J24" s="29"/>
      <c r="K24" s="114"/>
    </row>
    <row r="25" spans="2:11" ht="15.75" thickBot="1" x14ac:dyDescent="0.3">
      <c r="B25" s="216"/>
      <c r="C25" s="269"/>
      <c r="D25" s="30"/>
      <c r="E25" s="334"/>
      <c r="F25" s="31"/>
      <c r="G25" s="31"/>
      <c r="H25" s="31"/>
      <c r="I25" s="140">
        <f t="shared" ref="I25:I29" si="0">+G25*H25</f>
        <v>0</v>
      </c>
      <c r="J25" s="29"/>
      <c r="K25" s="114"/>
    </row>
    <row r="26" spans="2:11" ht="15.75" thickBot="1" x14ac:dyDescent="0.3">
      <c r="B26" s="216"/>
      <c r="C26" s="269"/>
      <c r="D26" s="30"/>
      <c r="E26" s="334"/>
      <c r="F26" s="31"/>
      <c r="G26" s="31"/>
      <c r="H26" s="31"/>
      <c r="I26" s="140">
        <f t="shared" si="0"/>
        <v>0</v>
      </c>
      <c r="J26" s="29"/>
      <c r="K26" s="114"/>
    </row>
    <row r="27" spans="2:11" ht="15.75" thickBot="1" x14ac:dyDescent="0.3">
      <c r="B27" s="216"/>
      <c r="C27" s="269"/>
      <c r="D27" s="30"/>
      <c r="E27" s="30"/>
      <c r="F27" s="31"/>
      <c r="G27" s="31"/>
      <c r="H27" s="31"/>
      <c r="I27" s="140">
        <f t="shared" si="0"/>
        <v>0</v>
      </c>
      <c r="J27" s="29"/>
      <c r="K27" s="114"/>
    </row>
    <row r="28" spans="2:11" ht="15.75" thickBot="1" x14ac:dyDescent="0.3">
      <c r="B28" s="216"/>
      <c r="C28" s="269"/>
      <c r="D28" s="30"/>
      <c r="E28" s="30"/>
      <c r="F28" s="31"/>
      <c r="G28" s="31"/>
      <c r="H28" s="31"/>
      <c r="I28" s="140">
        <f t="shared" si="0"/>
        <v>0</v>
      </c>
      <c r="J28" s="29"/>
      <c r="K28" s="114"/>
    </row>
    <row r="29" spans="2:11" ht="15.75" thickBot="1" x14ac:dyDescent="0.3">
      <c r="B29" s="216"/>
      <c r="C29" s="269"/>
      <c r="D29" s="30"/>
      <c r="E29" s="30"/>
      <c r="F29" s="31"/>
      <c r="G29" s="31"/>
      <c r="H29" s="31"/>
      <c r="I29" s="140">
        <f t="shared" si="0"/>
        <v>0</v>
      </c>
      <c r="J29" s="29"/>
      <c r="K29" s="114"/>
    </row>
    <row r="30" spans="2:11" ht="15.75" thickBot="1" x14ac:dyDescent="0.3">
      <c r="B30" s="216"/>
      <c r="C30" s="90"/>
      <c r="D30" s="39" t="s">
        <v>1016</v>
      </c>
      <c r="E30" s="39"/>
      <c r="F30" s="39"/>
      <c r="G30" s="39"/>
      <c r="H30" s="195">
        <f>Formulas!D20</f>
        <v>1</v>
      </c>
      <c r="I30" s="140">
        <f>Formulas!E20</f>
        <v>0</v>
      </c>
      <c r="J30" s="40"/>
      <c r="K30" s="115"/>
    </row>
    <row r="31" spans="2:11" ht="15.75" thickBot="1" x14ac:dyDescent="0.3">
      <c r="B31" s="46"/>
      <c r="C31" s="92"/>
      <c r="D31" s="1435" t="s">
        <v>1509</v>
      </c>
      <c r="E31" s="1436"/>
      <c r="F31" s="1436"/>
      <c r="G31" s="1436"/>
      <c r="H31" s="1436"/>
      <c r="I31" s="1436"/>
      <c r="J31" s="1436"/>
      <c r="K31" s="1437"/>
    </row>
    <row r="32" spans="2:11" ht="24" customHeight="1" thickBot="1" x14ac:dyDescent="0.3">
      <c r="B32" s="46" t="s">
        <v>924</v>
      </c>
      <c r="C32" s="92"/>
      <c r="D32" s="1435" t="s">
        <v>1510</v>
      </c>
      <c r="E32" s="1436"/>
      <c r="F32" s="1436"/>
      <c r="G32" s="1436"/>
      <c r="H32" s="1436"/>
      <c r="I32" s="1436"/>
      <c r="J32" s="1436"/>
      <c r="K32" s="1437"/>
    </row>
    <row r="33" spans="2:11" ht="36" customHeight="1" thickBot="1" x14ac:dyDescent="0.3">
      <c r="B33" s="46" t="s">
        <v>926</v>
      </c>
      <c r="C33" s="92"/>
      <c r="D33" s="1435" t="s">
        <v>1511</v>
      </c>
      <c r="E33" s="1436"/>
      <c r="F33" s="1436"/>
      <c r="G33" s="1436"/>
      <c r="H33" s="1436"/>
      <c r="I33" s="1436"/>
      <c r="J33" s="1436"/>
      <c r="K33" s="1437"/>
    </row>
    <row r="34" spans="2:11" ht="15.75" thickBot="1" x14ac:dyDescent="0.3">
      <c r="B34" s="1"/>
      <c r="C34" s="75"/>
      <c r="D34" s="5"/>
      <c r="E34" s="5"/>
      <c r="F34" s="5"/>
      <c r="G34" s="5"/>
      <c r="H34" s="5"/>
      <c r="I34" s="5"/>
      <c r="J34" s="5"/>
      <c r="K34" s="5"/>
    </row>
    <row r="35" spans="2:11" ht="24" customHeight="1" thickBot="1" x14ac:dyDescent="0.3">
      <c r="B35" s="1426" t="s">
        <v>928</v>
      </c>
      <c r="C35" s="1427"/>
      <c r="D35" s="1427"/>
      <c r="E35" s="1428"/>
      <c r="F35" s="5"/>
      <c r="G35" s="5"/>
      <c r="H35" s="5"/>
      <c r="I35" s="5"/>
      <c r="J35" s="5"/>
      <c r="K35" s="5"/>
    </row>
    <row r="36" spans="2:11" ht="15.75" thickBot="1" x14ac:dyDescent="0.3">
      <c r="B36" s="1423">
        <v>1</v>
      </c>
      <c r="C36" s="93"/>
      <c r="D36" s="47" t="s">
        <v>929</v>
      </c>
      <c r="E36" s="30" t="s">
        <v>2093</v>
      </c>
      <c r="F36" s="5"/>
      <c r="G36" s="5"/>
      <c r="H36" s="5"/>
      <c r="I36" s="5"/>
      <c r="J36" s="5"/>
      <c r="K36" s="5"/>
    </row>
    <row r="37" spans="2:11" ht="15.75" thickBot="1" x14ac:dyDescent="0.3">
      <c r="B37" s="1424"/>
      <c r="C37" s="93"/>
      <c r="D37" s="40" t="s">
        <v>7</v>
      </c>
      <c r="E37" s="30" t="s">
        <v>2098</v>
      </c>
      <c r="F37" s="5"/>
      <c r="G37" s="5"/>
      <c r="H37" s="5"/>
      <c r="I37" s="5"/>
      <c r="J37" s="5"/>
      <c r="K37" s="5"/>
    </row>
    <row r="38" spans="2:11" ht="15.75" thickBot="1" x14ac:dyDescent="0.3">
      <c r="B38" s="1424"/>
      <c r="C38" s="93"/>
      <c r="D38" s="40" t="s">
        <v>930</v>
      </c>
      <c r="E38" s="30" t="s">
        <v>2119</v>
      </c>
      <c r="F38" s="5"/>
      <c r="G38" s="5"/>
      <c r="H38" s="5"/>
      <c r="I38" s="5"/>
      <c r="J38" s="5"/>
      <c r="K38" s="5"/>
    </row>
    <row r="39" spans="2:11" ht="15.75" thickBot="1" x14ac:dyDescent="0.3">
      <c r="B39" s="1424"/>
      <c r="C39" s="93"/>
      <c r="D39" s="40" t="s">
        <v>9</v>
      </c>
      <c r="E39" s="30" t="s">
        <v>2095</v>
      </c>
      <c r="F39" s="5"/>
      <c r="G39" s="5"/>
      <c r="H39" s="5"/>
      <c r="I39" s="5"/>
      <c r="J39" s="5"/>
      <c r="K39" s="5"/>
    </row>
    <row r="40" spans="2:11" ht="15.75" thickBot="1" x14ac:dyDescent="0.3">
      <c r="B40" s="1424"/>
      <c r="C40" s="93"/>
      <c r="D40" s="40" t="s">
        <v>11</v>
      </c>
      <c r="E40" s="30" t="s">
        <v>2120</v>
      </c>
      <c r="F40" s="5"/>
      <c r="G40" s="5"/>
      <c r="H40" s="5"/>
      <c r="I40" s="5"/>
      <c r="J40" s="5"/>
      <c r="K40" s="5"/>
    </row>
    <row r="41" spans="2:11" ht="15.75" thickBot="1" x14ac:dyDescent="0.3">
      <c r="B41" s="1424"/>
      <c r="C41" s="93"/>
      <c r="D41" s="40" t="s">
        <v>13</v>
      </c>
      <c r="E41" s="30">
        <v>6695278</v>
      </c>
      <c r="F41" s="5"/>
      <c r="G41" s="5"/>
      <c r="H41" s="5"/>
      <c r="I41" s="5"/>
      <c r="J41" s="5"/>
      <c r="K41" s="5"/>
    </row>
    <row r="42" spans="2:11" ht="15.75" thickBot="1" x14ac:dyDescent="0.3">
      <c r="B42" s="1425"/>
      <c r="C42" s="2"/>
      <c r="D42" s="40" t="s">
        <v>931</v>
      </c>
      <c r="E42" s="30" t="s">
        <v>2097</v>
      </c>
      <c r="F42" s="5"/>
      <c r="G42" s="5"/>
      <c r="H42" s="5"/>
      <c r="I42" s="5"/>
      <c r="J42" s="5"/>
      <c r="K42" s="5"/>
    </row>
    <row r="43" spans="2:11" ht="15.75" thickBot="1" x14ac:dyDescent="0.3">
      <c r="B43" s="1"/>
      <c r="C43" s="75"/>
      <c r="D43" s="5"/>
      <c r="E43" s="5"/>
      <c r="F43" s="5"/>
      <c r="G43" s="5"/>
      <c r="H43" s="5"/>
      <c r="I43" s="5"/>
      <c r="J43" s="5"/>
      <c r="K43" s="5"/>
    </row>
    <row r="44" spans="2:11" ht="15.75" thickBot="1" x14ac:dyDescent="0.3">
      <c r="B44" s="1426" t="s">
        <v>932</v>
      </c>
      <c r="C44" s="1427"/>
      <c r="D44" s="1427"/>
      <c r="E44" s="1428"/>
      <c r="F44" s="5"/>
      <c r="G44" s="5"/>
      <c r="H44" s="5"/>
      <c r="I44" s="5"/>
      <c r="J44" s="5"/>
      <c r="K44" s="5"/>
    </row>
    <row r="45" spans="2:11" ht="15.75" thickBot="1" x14ac:dyDescent="0.3">
      <c r="B45" s="1423">
        <v>1</v>
      </c>
      <c r="C45" s="93"/>
      <c r="D45" s="47" t="s">
        <v>929</v>
      </c>
      <c r="E45" s="217" t="s">
        <v>933</v>
      </c>
      <c r="F45" s="5"/>
      <c r="G45" s="5"/>
      <c r="H45" s="5"/>
      <c r="I45" s="5"/>
      <c r="J45" s="5"/>
      <c r="K45" s="5"/>
    </row>
    <row r="46" spans="2:11" ht="15.75" thickBot="1" x14ac:dyDescent="0.3">
      <c r="B46" s="1424"/>
      <c r="C46" s="93"/>
      <c r="D46" s="40" t="s">
        <v>7</v>
      </c>
      <c r="E46" s="217" t="s">
        <v>934</v>
      </c>
      <c r="F46" s="5"/>
      <c r="G46" s="5"/>
      <c r="H46" s="5"/>
      <c r="I46" s="5"/>
      <c r="J46" s="5"/>
      <c r="K46" s="5"/>
    </row>
    <row r="47" spans="2:11" ht="15.75" thickBot="1" x14ac:dyDescent="0.3">
      <c r="B47" s="1424"/>
      <c r="C47" s="93"/>
      <c r="D47" s="40" t="s">
        <v>930</v>
      </c>
      <c r="E47" s="237"/>
      <c r="F47" s="5"/>
      <c r="G47" s="5"/>
      <c r="H47" s="5"/>
      <c r="I47" s="5"/>
      <c r="J47" s="5"/>
      <c r="K47" s="5"/>
    </row>
    <row r="48" spans="2:11" ht="15.75" thickBot="1" x14ac:dyDescent="0.3">
      <c r="B48" s="1424"/>
      <c r="C48" s="93"/>
      <c r="D48" s="40" t="s">
        <v>9</v>
      </c>
      <c r="E48" s="237"/>
      <c r="F48" s="5"/>
      <c r="G48" s="5"/>
      <c r="H48" s="5"/>
      <c r="I48" s="5"/>
      <c r="J48" s="5"/>
      <c r="K48" s="5"/>
    </row>
    <row r="49" spans="2:11" ht="15.75" thickBot="1" x14ac:dyDescent="0.3">
      <c r="B49" s="1424"/>
      <c r="C49" s="93"/>
      <c r="D49" s="40" t="s">
        <v>11</v>
      </c>
      <c r="E49" s="237"/>
      <c r="F49" s="5"/>
      <c r="G49" s="5"/>
      <c r="H49" s="5"/>
      <c r="I49" s="5"/>
      <c r="J49" s="5"/>
      <c r="K49" s="5"/>
    </row>
    <row r="50" spans="2:11" ht="15.75" thickBot="1" x14ac:dyDescent="0.3">
      <c r="B50" s="1424"/>
      <c r="C50" s="93"/>
      <c r="D50" s="40" t="s">
        <v>13</v>
      </c>
      <c r="E50" s="237"/>
      <c r="F50" s="5"/>
      <c r="G50" s="5"/>
      <c r="H50" s="5"/>
      <c r="I50" s="5"/>
      <c r="J50" s="5"/>
      <c r="K50" s="5"/>
    </row>
    <row r="51" spans="2:11" ht="15.75" thickBot="1" x14ac:dyDescent="0.3">
      <c r="B51" s="1425"/>
      <c r="C51" s="2"/>
      <c r="D51" s="40" t="s">
        <v>931</v>
      </c>
      <c r="E51" s="237"/>
      <c r="F51" s="5"/>
      <c r="G51" s="5"/>
      <c r="H51" s="5"/>
      <c r="I51" s="5"/>
      <c r="J51" s="5"/>
      <c r="K51" s="5"/>
    </row>
    <row r="52" spans="2:11" ht="15.75" thickBot="1" x14ac:dyDescent="0.3">
      <c r="B52" s="1"/>
      <c r="C52" s="75"/>
      <c r="D52" s="5"/>
      <c r="E52" s="5"/>
      <c r="F52" s="5"/>
      <c r="G52" s="5"/>
      <c r="H52" s="5"/>
      <c r="I52" s="5"/>
      <c r="J52" s="5"/>
      <c r="K52" s="5"/>
    </row>
    <row r="53" spans="2:11" ht="15" customHeight="1" thickBot="1" x14ac:dyDescent="0.3">
      <c r="B53" s="121" t="s">
        <v>935</v>
      </c>
      <c r="C53" s="122"/>
      <c r="D53" s="122"/>
      <c r="E53" s="123"/>
      <c r="G53" s="5"/>
      <c r="H53" s="5"/>
      <c r="I53" s="5"/>
      <c r="J53" s="5"/>
      <c r="K53" s="5"/>
    </row>
    <row r="54" spans="2:11" ht="24.75" thickBot="1" x14ac:dyDescent="0.3">
      <c r="B54" s="46" t="s">
        <v>936</v>
      </c>
      <c r="C54" s="40" t="s">
        <v>937</v>
      </c>
      <c r="D54" s="40" t="s">
        <v>938</v>
      </c>
      <c r="E54" s="40" t="s">
        <v>939</v>
      </c>
      <c r="F54" s="5"/>
      <c r="G54" s="5"/>
      <c r="H54" s="5"/>
      <c r="I54" s="5"/>
      <c r="J54" s="5"/>
    </row>
    <row r="55" spans="2:11" ht="72.75" thickBot="1" x14ac:dyDescent="0.3">
      <c r="B55" s="48">
        <v>42401</v>
      </c>
      <c r="C55" s="40">
        <v>0.01</v>
      </c>
      <c r="D55" s="40" t="s">
        <v>1512</v>
      </c>
      <c r="E55" s="40"/>
      <c r="F55" s="5"/>
      <c r="G55" s="5"/>
      <c r="H55" s="5"/>
      <c r="I55" s="5"/>
      <c r="J55" s="5"/>
    </row>
    <row r="56" spans="2:11" ht="15.75" thickBot="1" x14ac:dyDescent="0.3">
      <c r="B56" s="1"/>
      <c r="C56" s="75"/>
      <c r="D56" s="5"/>
      <c r="E56" s="5"/>
      <c r="F56" s="5"/>
      <c r="G56" s="5"/>
      <c r="H56" s="5"/>
      <c r="I56" s="5"/>
      <c r="J56" s="5"/>
      <c r="K56" s="5"/>
    </row>
    <row r="57" spans="2:11" ht="15.75" thickBot="1" x14ac:dyDescent="0.3">
      <c r="B57" s="128" t="s">
        <v>846</v>
      </c>
      <c r="C57" s="95"/>
      <c r="D57" s="5"/>
      <c r="E57" s="5"/>
      <c r="F57" s="5"/>
      <c r="G57" s="5"/>
      <c r="H57" s="5"/>
      <c r="I57" s="5"/>
      <c r="J57" s="5"/>
      <c r="K57" s="5"/>
    </row>
    <row r="58" spans="2:11" x14ac:dyDescent="0.25">
      <c r="B58" s="1556"/>
      <c r="C58" s="1557"/>
      <c r="D58" s="1557"/>
      <c r="E58" s="1558"/>
      <c r="F58" s="5"/>
      <c r="G58" s="5"/>
      <c r="H58" s="5"/>
      <c r="I58" s="5"/>
      <c r="J58" s="5"/>
      <c r="K58" s="5"/>
    </row>
    <row r="59" spans="2:11" ht="15.75" thickBot="1" x14ac:dyDescent="0.3">
      <c r="B59" s="1559"/>
      <c r="C59" s="1560"/>
      <c r="D59" s="1560"/>
      <c r="E59" s="1561"/>
      <c r="F59" s="5"/>
      <c r="G59" s="5"/>
      <c r="H59" s="5"/>
      <c r="I59" s="5"/>
      <c r="J59" s="5"/>
      <c r="K59" s="5"/>
    </row>
    <row r="60" spans="2:11" ht="15.75" thickBot="1" x14ac:dyDescent="0.3">
      <c r="B60" s="5"/>
      <c r="D60" s="5"/>
      <c r="E60" s="5"/>
      <c r="F60" s="5"/>
      <c r="G60" s="5"/>
      <c r="H60" s="5"/>
      <c r="I60" s="5"/>
      <c r="J60" s="5"/>
      <c r="K60" s="5"/>
    </row>
    <row r="61" spans="2:11" ht="15.75" thickBot="1" x14ac:dyDescent="0.3">
      <c r="B61" s="1426" t="s">
        <v>1381</v>
      </c>
      <c r="C61" s="1427"/>
      <c r="D61" s="1428"/>
      <c r="E61" s="5"/>
      <c r="F61" s="5"/>
      <c r="G61" s="5"/>
      <c r="H61" s="5"/>
      <c r="I61" s="5"/>
      <c r="J61" s="5"/>
      <c r="K61" s="5"/>
    </row>
    <row r="62" spans="2:11" ht="72.75" thickBot="1" x14ac:dyDescent="0.3">
      <c r="B62" s="46" t="s">
        <v>942</v>
      </c>
      <c r="C62" s="2"/>
      <c r="D62" s="40" t="s">
        <v>1513</v>
      </c>
      <c r="E62" s="5"/>
      <c r="F62" s="5"/>
      <c r="G62" s="5"/>
      <c r="H62" s="5"/>
      <c r="I62" s="5"/>
      <c r="J62" s="5"/>
      <c r="K62" s="5"/>
    </row>
    <row r="63" spans="2:11" x14ac:dyDescent="0.25">
      <c r="B63" s="1423" t="s">
        <v>944</v>
      </c>
      <c r="C63" s="93"/>
      <c r="D63" s="52" t="s">
        <v>945</v>
      </c>
      <c r="E63" s="5"/>
      <c r="F63" s="5"/>
      <c r="G63" s="5"/>
      <c r="H63" s="5"/>
      <c r="I63" s="5"/>
      <c r="J63" s="5"/>
      <c r="K63" s="5"/>
    </row>
    <row r="64" spans="2:11" ht="132" x14ac:dyDescent="0.25">
      <c r="B64" s="1424"/>
      <c r="C64" s="93"/>
      <c r="D64" s="45" t="s">
        <v>1514</v>
      </c>
      <c r="E64" s="5"/>
      <c r="F64" s="5"/>
      <c r="G64" s="5"/>
      <c r="H64" s="5"/>
      <c r="I64" s="5"/>
      <c r="J64" s="5"/>
      <c r="K64" s="5"/>
    </row>
    <row r="65" spans="2:11" x14ac:dyDescent="0.25">
      <c r="B65" s="1424"/>
      <c r="C65" s="93"/>
      <c r="D65" s="52" t="s">
        <v>948</v>
      </c>
      <c r="E65" s="5"/>
      <c r="F65" s="5"/>
      <c r="G65" s="5"/>
      <c r="H65" s="5"/>
      <c r="I65" s="5"/>
      <c r="J65" s="5"/>
      <c r="K65" s="5"/>
    </row>
    <row r="66" spans="2:11" ht="24" x14ac:dyDescent="0.25">
      <c r="B66" s="1424"/>
      <c r="C66" s="93"/>
      <c r="D66" s="45" t="s">
        <v>1515</v>
      </c>
      <c r="E66" s="5"/>
      <c r="F66" s="5"/>
      <c r="G66" s="5"/>
      <c r="H66" s="5"/>
      <c r="I66" s="5"/>
      <c r="J66" s="5"/>
      <c r="K66" s="5"/>
    </row>
    <row r="67" spans="2:11" ht="24" x14ac:dyDescent="0.25">
      <c r="B67" s="1424"/>
      <c r="C67" s="93"/>
      <c r="D67" s="45" t="s">
        <v>1516</v>
      </c>
      <c r="E67" s="5"/>
      <c r="F67" s="5"/>
      <c r="G67" s="5"/>
      <c r="H67" s="5"/>
      <c r="I67" s="5"/>
      <c r="J67" s="5"/>
      <c r="K67" s="5"/>
    </row>
    <row r="68" spans="2:11" ht="24" x14ac:dyDescent="0.25">
      <c r="B68" s="1424"/>
      <c r="C68" s="93"/>
      <c r="D68" s="45" t="s">
        <v>1517</v>
      </c>
      <c r="E68" s="5"/>
      <c r="F68" s="5"/>
      <c r="G68" s="5"/>
      <c r="H68" s="5"/>
      <c r="I68" s="5"/>
      <c r="J68" s="5"/>
      <c r="K68" s="5"/>
    </row>
    <row r="69" spans="2:11" x14ac:dyDescent="0.25">
      <c r="B69" s="1424"/>
      <c r="C69" s="93"/>
      <c r="D69" s="45" t="s">
        <v>1518</v>
      </c>
      <c r="E69" s="5"/>
      <c r="F69" s="5"/>
      <c r="G69" s="5"/>
      <c r="H69" s="5"/>
      <c r="I69" s="5"/>
      <c r="J69" s="5"/>
      <c r="K69" s="5"/>
    </row>
    <row r="70" spans="2:11" x14ac:dyDescent="0.25">
      <c r="B70" s="1424"/>
      <c r="C70" s="93"/>
      <c r="D70" s="45" t="s">
        <v>1519</v>
      </c>
      <c r="E70" s="5"/>
      <c r="F70" s="5"/>
      <c r="G70" s="5"/>
      <c r="H70" s="5"/>
      <c r="I70" s="5"/>
      <c r="J70" s="5"/>
      <c r="K70" s="5"/>
    </row>
    <row r="71" spans="2:11" x14ac:dyDescent="0.25">
      <c r="B71" s="1424"/>
      <c r="C71" s="93"/>
      <c r="D71" s="45" t="s">
        <v>1520</v>
      </c>
      <c r="E71" s="5"/>
      <c r="F71" s="5"/>
      <c r="G71" s="5"/>
      <c r="H71" s="5"/>
      <c r="I71" s="5"/>
      <c r="J71" s="5"/>
      <c r="K71" s="5"/>
    </row>
    <row r="72" spans="2:11" x14ac:dyDescent="0.25">
      <c r="B72" s="1424"/>
      <c r="C72" s="93"/>
      <c r="D72" s="52" t="s">
        <v>1172</v>
      </c>
      <c r="E72" s="5"/>
      <c r="F72" s="5"/>
      <c r="G72" s="5"/>
      <c r="H72" s="5"/>
      <c r="I72" s="5"/>
      <c r="J72" s="5"/>
      <c r="K72" s="5"/>
    </row>
    <row r="73" spans="2:11" ht="48" x14ac:dyDescent="0.25">
      <c r="B73" s="1424"/>
      <c r="C73" s="93"/>
      <c r="D73" s="45" t="s">
        <v>1521</v>
      </c>
      <c r="E73" s="5"/>
      <c r="F73" s="5"/>
      <c r="G73" s="5"/>
      <c r="H73" s="5"/>
      <c r="I73" s="5"/>
      <c r="J73" s="5"/>
      <c r="K73" s="5"/>
    </row>
    <row r="74" spans="2:11" ht="15.75" thickBot="1" x14ac:dyDescent="0.3">
      <c r="B74" s="1425"/>
      <c r="C74" s="2"/>
      <c r="D74" s="67"/>
      <c r="E74" s="5"/>
      <c r="F74" s="5"/>
      <c r="G74" s="5"/>
      <c r="H74" s="5"/>
      <c r="I74" s="5"/>
      <c r="J74" s="5"/>
      <c r="K74" s="5"/>
    </row>
    <row r="75" spans="2:11" x14ac:dyDescent="0.25">
      <c r="B75" s="1423" t="s">
        <v>957</v>
      </c>
      <c r="C75" s="98"/>
      <c r="D75" s="1423"/>
      <c r="E75" s="5"/>
      <c r="F75" s="5"/>
      <c r="G75" s="5"/>
      <c r="H75" s="5"/>
      <c r="I75" s="5"/>
      <c r="J75" s="5"/>
      <c r="K75" s="5"/>
    </row>
    <row r="76" spans="2:11" ht="15.75" thickBot="1" x14ac:dyDescent="0.3">
      <c r="B76" s="1425"/>
      <c r="C76" s="99"/>
      <c r="D76" s="1425"/>
      <c r="E76" s="5"/>
      <c r="F76" s="5"/>
      <c r="G76" s="5"/>
      <c r="H76" s="5"/>
      <c r="I76" s="5"/>
      <c r="J76" s="5"/>
      <c r="K76" s="5"/>
    </row>
    <row r="77" spans="2:11" ht="15.75" thickBot="1" x14ac:dyDescent="0.3">
      <c r="B77" s="37"/>
      <c r="C77" s="87"/>
      <c r="D77" s="5"/>
      <c r="E77" s="5"/>
      <c r="F77" s="5"/>
      <c r="G77" s="5"/>
      <c r="H77" s="5"/>
      <c r="I77" s="5"/>
      <c r="J77" s="5"/>
      <c r="K77" s="5"/>
    </row>
    <row r="78" spans="2:11" ht="180" x14ac:dyDescent="0.25">
      <c r="B78" s="1423" t="s">
        <v>958</v>
      </c>
      <c r="C78" s="104"/>
      <c r="D78" s="62" t="s">
        <v>1522</v>
      </c>
      <c r="E78" s="5"/>
      <c r="F78" s="5"/>
      <c r="G78" s="5"/>
      <c r="H78" s="5"/>
      <c r="I78" s="5"/>
      <c r="J78" s="5"/>
      <c r="K78" s="5"/>
    </row>
    <row r="79" spans="2:11" ht="204" x14ac:dyDescent="0.25">
      <c r="B79" s="1424"/>
      <c r="C79" s="93"/>
      <c r="D79" s="45" t="s">
        <v>1523</v>
      </c>
      <c r="E79" s="5"/>
      <c r="F79" s="5"/>
      <c r="G79" s="5"/>
      <c r="H79" s="5"/>
      <c r="I79" s="5"/>
      <c r="J79" s="5"/>
      <c r="K79" s="5"/>
    </row>
    <row r="80" spans="2:11" ht="48" x14ac:dyDescent="0.25">
      <c r="B80" s="1424"/>
      <c r="C80" s="93"/>
      <c r="D80" s="45" t="s">
        <v>1524</v>
      </c>
      <c r="E80" s="5"/>
      <c r="F80" s="5"/>
      <c r="G80" s="5"/>
      <c r="H80" s="5"/>
      <c r="I80" s="5"/>
      <c r="J80" s="5"/>
      <c r="K80" s="5"/>
    </row>
    <row r="81" spans="2:11" ht="24" x14ac:dyDescent="0.25">
      <c r="B81" s="1424"/>
      <c r="C81" s="93"/>
      <c r="D81" s="45" t="s">
        <v>1525</v>
      </c>
      <c r="E81" s="5"/>
      <c r="F81" s="5"/>
      <c r="G81" s="5"/>
      <c r="H81" s="5"/>
      <c r="I81" s="5"/>
      <c r="J81" s="5"/>
      <c r="K81" s="5"/>
    </row>
    <row r="82" spans="2:11" ht="60" x14ac:dyDescent="0.25">
      <c r="B82" s="1424"/>
      <c r="C82" s="93"/>
      <c r="D82" s="45" t="s">
        <v>1526</v>
      </c>
      <c r="E82" s="5"/>
      <c r="F82" s="5"/>
      <c r="G82" s="5"/>
      <c r="H82" s="5"/>
      <c r="I82" s="5"/>
      <c r="J82" s="5"/>
      <c r="K82" s="5"/>
    </row>
    <row r="83" spans="2:11" ht="24" x14ac:dyDescent="0.25">
      <c r="B83" s="1424"/>
      <c r="C83" s="93"/>
      <c r="D83" s="45" t="s">
        <v>1527</v>
      </c>
      <c r="E83" s="5"/>
      <c r="F83" s="5"/>
      <c r="G83" s="5"/>
      <c r="H83" s="5"/>
      <c r="I83" s="5"/>
      <c r="J83" s="5"/>
      <c r="K83" s="5"/>
    </row>
    <row r="84" spans="2:11" ht="24" x14ac:dyDescent="0.25">
      <c r="B84" s="1424"/>
      <c r="C84" s="93"/>
      <c r="D84" s="45" t="s">
        <v>1528</v>
      </c>
      <c r="E84" s="5"/>
      <c r="F84" s="5"/>
      <c r="G84" s="5"/>
      <c r="H84" s="5"/>
      <c r="I84" s="5"/>
      <c r="J84" s="5"/>
      <c r="K84" s="5"/>
    </row>
    <row r="85" spans="2:11" ht="36" x14ac:dyDescent="0.25">
      <c r="B85" s="1424"/>
      <c r="C85" s="93"/>
      <c r="D85" s="45" t="s">
        <v>1529</v>
      </c>
      <c r="E85" s="5"/>
      <c r="F85" s="5"/>
      <c r="G85" s="5"/>
      <c r="H85" s="5"/>
      <c r="I85" s="5"/>
      <c r="J85" s="5"/>
      <c r="K85" s="5"/>
    </row>
    <row r="86" spans="2:11" ht="24" x14ac:dyDescent="0.25">
      <c r="B86" s="1424"/>
      <c r="C86" s="93"/>
      <c r="D86" s="45" t="s">
        <v>1530</v>
      </c>
      <c r="E86" s="5"/>
      <c r="F86" s="5"/>
      <c r="G86" s="5"/>
      <c r="H86" s="5"/>
      <c r="I86" s="5"/>
      <c r="J86" s="5"/>
      <c r="K86" s="5"/>
    </row>
    <row r="87" spans="2:11" ht="24" x14ac:dyDescent="0.25">
      <c r="B87" s="1424"/>
      <c r="C87" s="93"/>
      <c r="D87" s="45" t="s">
        <v>1531</v>
      </c>
      <c r="E87" s="5"/>
      <c r="F87" s="5"/>
      <c r="G87" s="5"/>
      <c r="H87" s="5"/>
      <c r="I87" s="5"/>
      <c r="J87" s="5"/>
      <c r="K87" s="5"/>
    </row>
    <row r="88" spans="2:11" ht="24" x14ac:dyDescent="0.25">
      <c r="B88" s="1424"/>
      <c r="C88" s="93"/>
      <c r="D88" s="45" t="s">
        <v>1532</v>
      </c>
      <c r="E88" s="5"/>
      <c r="F88" s="5"/>
      <c r="G88" s="5"/>
      <c r="H88" s="5"/>
      <c r="I88" s="5"/>
      <c r="J88" s="5"/>
      <c r="K88" s="5"/>
    </row>
    <row r="89" spans="2:11" ht="36" x14ac:dyDescent="0.25">
      <c r="B89" s="1424"/>
      <c r="C89" s="93"/>
      <c r="D89" s="45" t="s">
        <v>1533</v>
      </c>
      <c r="E89" s="5"/>
      <c r="F89" s="5"/>
      <c r="G89" s="5"/>
      <c r="H89" s="5"/>
      <c r="I89" s="5"/>
      <c r="J89" s="5"/>
      <c r="K89" s="5"/>
    </row>
    <row r="90" spans="2:11" ht="24" x14ac:dyDescent="0.25">
      <c r="B90" s="1424"/>
      <c r="C90" s="93"/>
      <c r="D90" s="45" t="s">
        <v>1534</v>
      </c>
      <c r="E90" s="5"/>
      <c r="F90" s="5"/>
      <c r="G90" s="5"/>
      <c r="H90" s="5"/>
      <c r="I90" s="5"/>
      <c r="J90" s="5"/>
      <c r="K90" s="5"/>
    </row>
    <row r="91" spans="2:11" ht="60.75" thickBot="1" x14ac:dyDescent="0.3">
      <c r="B91" s="1425"/>
      <c r="C91" s="2"/>
      <c r="D91" s="40" t="s">
        <v>1535</v>
      </c>
      <c r="E91" s="5"/>
      <c r="F91" s="5"/>
      <c r="G91" s="5"/>
      <c r="H91" s="5"/>
      <c r="I91" s="5"/>
      <c r="J91" s="5"/>
      <c r="K91" s="5"/>
    </row>
    <row r="92" spans="2:11" ht="36" x14ac:dyDescent="0.25">
      <c r="B92" s="1423" t="s">
        <v>975</v>
      </c>
      <c r="C92" s="93"/>
      <c r="D92" s="52" t="s">
        <v>1536</v>
      </c>
      <c r="E92" s="5"/>
      <c r="F92" s="5"/>
      <c r="G92" s="5"/>
      <c r="H92" s="5"/>
      <c r="I92" s="5"/>
      <c r="J92" s="5"/>
      <c r="K92" s="5"/>
    </row>
    <row r="93" spans="2:11" ht="36" x14ac:dyDescent="0.25">
      <c r="B93" s="1424"/>
      <c r="C93" s="93"/>
      <c r="D93" s="45" t="s">
        <v>1537</v>
      </c>
      <c r="E93" s="5"/>
      <c r="F93" s="5"/>
      <c r="G93" s="5"/>
      <c r="H93" s="5"/>
      <c r="I93" s="5"/>
      <c r="J93" s="5"/>
      <c r="K93" s="5"/>
    </row>
    <row r="94" spans="2:11" x14ac:dyDescent="0.25">
      <c r="B94" s="1424"/>
      <c r="C94" s="93"/>
      <c r="D94" s="16"/>
      <c r="E94" s="5"/>
      <c r="F94" s="5"/>
      <c r="G94" s="5"/>
      <c r="H94" s="5"/>
      <c r="I94" s="5"/>
      <c r="J94" s="5"/>
      <c r="K94" s="5"/>
    </row>
    <row r="95" spans="2:11" x14ac:dyDescent="0.25">
      <c r="B95" s="1424"/>
      <c r="C95" s="93"/>
      <c r="D95" s="45" t="s">
        <v>976</v>
      </c>
      <c r="E95" s="5"/>
      <c r="F95" s="5"/>
      <c r="G95" s="5"/>
      <c r="H95" s="5"/>
      <c r="I95" s="5"/>
      <c r="J95" s="5"/>
      <c r="K95" s="5"/>
    </row>
    <row r="96" spans="2:11" ht="37.5" x14ac:dyDescent="0.25">
      <c r="B96" s="1424"/>
      <c r="C96" s="93"/>
      <c r="D96" s="45" t="s">
        <v>1538</v>
      </c>
      <c r="E96" s="5"/>
      <c r="F96" s="5"/>
      <c r="G96" s="5"/>
      <c r="H96" s="5"/>
      <c r="I96" s="5"/>
      <c r="J96" s="5"/>
      <c r="K96" s="5"/>
    </row>
    <row r="97" spans="2:11" ht="49.5" x14ac:dyDescent="0.25">
      <c r="B97" s="1424"/>
      <c r="C97" s="93"/>
      <c r="D97" s="45" t="s">
        <v>1539</v>
      </c>
      <c r="E97" s="5"/>
      <c r="F97" s="5"/>
      <c r="G97" s="5"/>
      <c r="H97" s="5"/>
      <c r="I97" s="5"/>
      <c r="J97" s="5"/>
      <c r="K97" s="5"/>
    </row>
    <row r="98" spans="2:11" ht="25.5" x14ac:dyDescent="0.25">
      <c r="B98" s="1424"/>
      <c r="C98" s="93"/>
      <c r="D98" s="45" t="s">
        <v>1540</v>
      </c>
      <c r="E98" s="5"/>
      <c r="F98" s="5"/>
      <c r="G98" s="5"/>
      <c r="H98" s="5"/>
      <c r="I98" s="5"/>
      <c r="J98" s="5"/>
      <c r="K98" s="5"/>
    </row>
    <row r="99" spans="2:11" x14ac:dyDescent="0.25">
      <c r="B99" s="1424"/>
      <c r="C99" s="93"/>
      <c r="D99" s="45" t="s">
        <v>1541</v>
      </c>
      <c r="E99" s="5"/>
      <c r="F99" s="5"/>
      <c r="G99" s="5"/>
      <c r="H99" s="5"/>
      <c r="I99" s="5"/>
      <c r="J99" s="5"/>
      <c r="K99" s="5"/>
    </row>
    <row r="100" spans="2:11" ht="48.75" thickBot="1" x14ac:dyDescent="0.3">
      <c r="B100" s="1425"/>
      <c r="C100" s="2"/>
      <c r="D100" s="70" t="s">
        <v>1542</v>
      </c>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sheetData>
  <mergeCells count="32">
    <mergeCell ref="A1:P1"/>
    <mergeCell ref="A2:P2"/>
    <mergeCell ref="A3:P3"/>
    <mergeCell ref="A4:D4"/>
    <mergeCell ref="A5:P5"/>
    <mergeCell ref="B15:B19"/>
    <mergeCell ref="B45:B51"/>
    <mergeCell ref="B58:E59"/>
    <mergeCell ref="D15:K15"/>
    <mergeCell ref="D16:K16"/>
    <mergeCell ref="D19:K19"/>
    <mergeCell ref="D31:K31"/>
    <mergeCell ref="C20:C21"/>
    <mergeCell ref="D20:D21"/>
    <mergeCell ref="E20:E21"/>
    <mergeCell ref="F20:J20"/>
    <mergeCell ref="D32:K32"/>
    <mergeCell ref="D33:K33"/>
    <mergeCell ref="B35:E35"/>
    <mergeCell ref="B36:B42"/>
    <mergeCell ref="B44:E44"/>
    <mergeCell ref="B78:B91"/>
    <mergeCell ref="B92:B100"/>
    <mergeCell ref="B61:D61"/>
    <mergeCell ref="B63:B74"/>
    <mergeCell ref="B75:B76"/>
    <mergeCell ref="D75:D76"/>
    <mergeCell ref="B10:D10"/>
    <mergeCell ref="F10:S10"/>
    <mergeCell ref="F11:S11"/>
    <mergeCell ref="E12:R12"/>
    <mergeCell ref="E13:R13"/>
  </mergeCells>
  <conditionalFormatting sqref="H30">
    <cfRule type="containsText" dxfId="66" priority="5" operator="containsText" text="ERROR">
      <formula>NOT(ISERROR(SEARCH("ERROR",H30)))</formula>
    </cfRule>
  </conditionalFormatting>
  <conditionalFormatting sqref="F10">
    <cfRule type="notContainsBlanks" dxfId="65" priority="4">
      <formula>LEN(TRIM(F10))&gt;0</formula>
    </cfRule>
  </conditionalFormatting>
  <conditionalFormatting sqref="F11:S11">
    <cfRule type="expression" dxfId="64" priority="2">
      <formula>E11="NO SE REPORTA"</formula>
    </cfRule>
    <cfRule type="expression" dxfId="63" priority="3">
      <formula>E10="NO APLICA"</formula>
    </cfRule>
  </conditionalFormatting>
  <conditionalFormatting sqref="E12:R12">
    <cfRule type="expression" dxfId="62"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18">
      <formula1>0</formula1>
    </dataValidation>
    <dataValidation type="decimal" allowBlank="1" showInputMessage="1" showErrorMessage="1" errorTitle="ERROR" error="Escriba un valor entre 0% y 100%" sqref="F22:H29">
      <formula1>0</formula1>
      <formula2>1</formula2>
    </dataValidation>
    <dataValidation allowBlank="1" showInputMessage="1" showErrorMessage="1" sqref="H30 I22:I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U179"/>
  <sheetViews>
    <sheetView showGridLines="0" zoomScale="98" zoomScaleNormal="98" workbookViewId="0">
      <selection activeCell="G22" sqref="G22"/>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106</v>
      </c>
      <c r="B5" s="1395"/>
      <c r="C5" s="1395"/>
      <c r="D5" s="1395"/>
      <c r="E5" s="1395"/>
      <c r="F5" s="1395"/>
      <c r="G5" s="1395"/>
      <c r="H5" s="1395"/>
      <c r="I5" s="1395"/>
      <c r="J5" s="1395"/>
      <c r="K5" s="1395"/>
      <c r="L5" s="1395"/>
      <c r="M5" s="1395"/>
      <c r="N5" s="1395"/>
      <c r="O5" s="1395"/>
      <c r="P5" s="1396"/>
    </row>
    <row r="6" spans="1:21" x14ac:dyDescent="0.25">
      <c r="B6" s="1" t="s">
        <v>878</v>
      </c>
      <c r="C6" s="75"/>
      <c r="D6" s="5"/>
      <c r="E6" s="73">
        <f>+G21</f>
        <v>10</v>
      </c>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INFORMACION",+F22))</f>
        <v>0.8571428571428571</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75" thickBot="1" x14ac:dyDescent="0.3">
      <c r="B15" s="1423" t="s">
        <v>888</v>
      </c>
      <c r="C15" s="88"/>
      <c r="D15" s="1408" t="s">
        <v>889</v>
      </c>
      <c r="E15" s="1409"/>
      <c r="F15" s="1409"/>
      <c r="G15" s="1409"/>
      <c r="H15" s="1409"/>
      <c r="I15" s="1410"/>
      <c r="J15" s="5"/>
      <c r="K15" s="5"/>
    </row>
    <row r="16" spans="1:21" ht="36.75" thickBot="1" x14ac:dyDescent="0.3">
      <c r="B16" s="1424"/>
      <c r="C16" s="93"/>
      <c r="D16" s="43" t="s">
        <v>1543</v>
      </c>
      <c r="E16" s="6">
        <v>21</v>
      </c>
      <c r="F16" s="5"/>
      <c r="G16" s="5"/>
      <c r="H16" s="5"/>
      <c r="I16" s="21"/>
      <c r="J16" s="5"/>
      <c r="K16" s="5"/>
    </row>
    <row r="17" spans="2:11" ht="72.75" thickBot="1" x14ac:dyDescent="0.3">
      <c r="B17" s="1424"/>
      <c r="C17" s="93"/>
      <c r="D17" s="40" t="s">
        <v>1544</v>
      </c>
      <c r="E17" s="6">
        <v>21</v>
      </c>
      <c r="F17" s="5"/>
      <c r="G17" s="5"/>
      <c r="H17" s="5"/>
      <c r="I17" s="21"/>
      <c r="J17" s="5"/>
      <c r="K17" s="5"/>
    </row>
    <row r="18" spans="2:11" ht="15.75" thickBot="1" x14ac:dyDescent="0.3">
      <c r="B18" s="1424"/>
      <c r="C18" s="91"/>
      <c r="D18" s="1438"/>
      <c r="E18" s="1439"/>
      <c r="F18" s="1439"/>
      <c r="G18" s="1439"/>
      <c r="H18" s="1439"/>
      <c r="I18" s="1440"/>
      <c r="J18" s="5"/>
      <c r="K18" s="5"/>
    </row>
    <row r="19" spans="2:11" ht="15.75" thickBot="1" x14ac:dyDescent="0.3">
      <c r="B19" s="1424"/>
      <c r="C19" s="93"/>
      <c r="D19" s="43" t="s">
        <v>1015</v>
      </c>
      <c r="E19" s="38" t="s">
        <v>909</v>
      </c>
      <c r="F19" s="38" t="s">
        <v>910</v>
      </c>
      <c r="G19" s="38" t="s">
        <v>911</v>
      </c>
      <c r="H19" s="38" t="s">
        <v>912</v>
      </c>
      <c r="I19" s="38" t="s">
        <v>1016</v>
      </c>
      <c r="J19" s="5"/>
      <c r="K19" s="5"/>
    </row>
    <row r="20" spans="2:11" ht="48.75" thickBot="1" x14ac:dyDescent="0.3">
      <c r="B20" s="1424"/>
      <c r="C20" s="93"/>
      <c r="D20" s="40" t="s">
        <v>1545</v>
      </c>
      <c r="E20" s="6">
        <v>21</v>
      </c>
      <c r="F20" s="6">
        <v>21</v>
      </c>
      <c r="G20" s="6">
        <v>21</v>
      </c>
      <c r="H20" s="6"/>
      <c r="I20" s="42">
        <f>SUM(E20:H20)</f>
        <v>63</v>
      </c>
      <c r="J20" s="5"/>
      <c r="K20" s="5"/>
    </row>
    <row r="21" spans="2:11" ht="36.75" thickBot="1" x14ac:dyDescent="0.3">
      <c r="B21" s="1424"/>
      <c r="C21" s="93"/>
      <c r="D21" s="40" t="s">
        <v>1546</v>
      </c>
      <c r="E21" s="6">
        <v>17</v>
      </c>
      <c r="F21" s="594">
        <v>18</v>
      </c>
      <c r="G21" s="6">
        <v>10</v>
      </c>
      <c r="H21" s="6"/>
      <c r="I21" s="42">
        <f>SUM(E21:H21)</f>
        <v>45</v>
      </c>
      <c r="J21" s="5"/>
      <c r="K21" s="5"/>
    </row>
    <row r="22" spans="2:11" ht="48.75" thickBot="1" x14ac:dyDescent="0.3">
      <c r="B22" s="1425"/>
      <c r="C22" s="2"/>
      <c r="D22" s="40" t="s">
        <v>1547</v>
      </c>
      <c r="E22" s="137">
        <f>IFERROR(E21/E20,0)</f>
        <v>0.80952380952380953</v>
      </c>
      <c r="F22" s="137">
        <f>IFERROR(F21/F20,0)</f>
        <v>0.8571428571428571</v>
      </c>
      <c r="G22" s="137">
        <f>IFERROR(G21/G20,0)</f>
        <v>0.47619047619047616</v>
      </c>
      <c r="H22" s="137">
        <f>IFERROR(H21/H20,0)</f>
        <v>0</v>
      </c>
      <c r="I22" s="137">
        <f>IFERROR(I21/I20,0)</f>
        <v>0.7142857142857143</v>
      </c>
      <c r="J22" s="5"/>
      <c r="K22" s="5"/>
    </row>
    <row r="23" spans="2:11" ht="36" customHeight="1" thickBot="1" x14ac:dyDescent="0.3">
      <c r="B23" s="46" t="s">
        <v>924</v>
      </c>
      <c r="C23" s="92"/>
      <c r="D23" s="1435" t="s">
        <v>1548</v>
      </c>
      <c r="E23" s="1436"/>
      <c r="F23" s="1436"/>
      <c r="G23" s="1436"/>
      <c r="H23" s="1436"/>
      <c r="I23" s="1437"/>
      <c r="J23" s="5"/>
      <c r="K23" s="5"/>
    </row>
    <row r="24" spans="2:11" ht="36" customHeight="1" thickBot="1" x14ac:dyDescent="0.3">
      <c r="B24" s="46" t="s">
        <v>926</v>
      </c>
      <c r="C24" s="92"/>
      <c r="D24" s="1435" t="s">
        <v>1024</v>
      </c>
      <c r="E24" s="1436"/>
      <c r="F24" s="1436"/>
      <c r="G24" s="1436"/>
      <c r="H24" s="1436"/>
      <c r="I24" s="1437"/>
      <c r="J24" s="5"/>
      <c r="K24" s="5"/>
    </row>
    <row r="25" spans="2:11" ht="15.75" thickBot="1" x14ac:dyDescent="0.3">
      <c r="B25" s="37"/>
      <c r="C25" s="87"/>
      <c r="D25" s="5"/>
      <c r="E25" s="5"/>
      <c r="F25" s="5"/>
      <c r="G25" s="5"/>
      <c r="H25" s="5"/>
      <c r="I25" s="5"/>
      <c r="J25" s="5"/>
      <c r="K25" s="5"/>
    </row>
    <row r="26" spans="2:11" ht="24" customHeight="1" thickBot="1" x14ac:dyDescent="0.3">
      <c r="B26" s="1426" t="s">
        <v>928</v>
      </c>
      <c r="C26" s="1427"/>
      <c r="D26" s="1427"/>
      <c r="E26" s="1428"/>
      <c r="F26" s="5"/>
      <c r="G26" s="5"/>
      <c r="H26" s="5"/>
      <c r="I26" s="5"/>
      <c r="J26" s="5"/>
      <c r="K26" s="5"/>
    </row>
    <row r="27" spans="2:11" ht="15.75" thickBot="1" x14ac:dyDescent="0.3">
      <c r="B27" s="1423">
        <v>1</v>
      </c>
      <c r="C27" s="93"/>
      <c r="D27" s="47" t="s">
        <v>929</v>
      </c>
      <c r="E27" s="30" t="s">
        <v>2093</v>
      </c>
      <c r="F27" s="5"/>
      <c r="G27" s="5"/>
      <c r="H27" s="5"/>
      <c r="I27" s="5"/>
      <c r="J27" s="5"/>
      <c r="K27" s="5"/>
    </row>
    <row r="28" spans="2:11" ht="15.75" thickBot="1" x14ac:dyDescent="0.3">
      <c r="B28" s="1424"/>
      <c r="C28" s="93"/>
      <c r="D28" s="40" t="s">
        <v>7</v>
      </c>
      <c r="E28" s="30" t="s">
        <v>2098</v>
      </c>
      <c r="F28" s="5"/>
      <c r="G28" s="5"/>
      <c r="H28" s="5"/>
      <c r="I28" s="5"/>
      <c r="J28" s="5"/>
      <c r="K28" s="5"/>
    </row>
    <row r="29" spans="2:11" ht="15.75" thickBot="1" x14ac:dyDescent="0.3">
      <c r="B29" s="1424"/>
      <c r="C29" s="93"/>
      <c r="D29" s="40" t="s">
        <v>930</v>
      </c>
      <c r="E29" s="30" t="s">
        <v>2099</v>
      </c>
      <c r="F29" s="5"/>
      <c r="G29" s="5"/>
      <c r="H29" s="5"/>
      <c r="I29" s="5"/>
      <c r="J29" s="5"/>
      <c r="K29" s="5"/>
    </row>
    <row r="30" spans="2:11" ht="15.75" thickBot="1" x14ac:dyDescent="0.3">
      <c r="B30" s="1424"/>
      <c r="C30" s="93"/>
      <c r="D30" s="40" t="s">
        <v>9</v>
      </c>
      <c r="E30" s="30" t="s">
        <v>2095</v>
      </c>
      <c r="F30" s="5"/>
      <c r="G30" s="5"/>
      <c r="H30" s="5"/>
      <c r="I30" s="5"/>
      <c r="J30" s="5"/>
      <c r="K30" s="5"/>
    </row>
    <row r="31" spans="2:11" ht="15.75" thickBot="1" x14ac:dyDescent="0.3">
      <c r="B31" s="1424"/>
      <c r="C31" s="93"/>
      <c r="D31" s="40" t="s">
        <v>11</v>
      </c>
      <c r="E31" s="30" t="s">
        <v>2100</v>
      </c>
      <c r="F31" s="5"/>
      <c r="G31" s="5"/>
      <c r="H31" s="5"/>
      <c r="I31" s="5"/>
      <c r="J31" s="5"/>
      <c r="K31" s="5"/>
    </row>
    <row r="32" spans="2:11" ht="15.75" thickBot="1" x14ac:dyDescent="0.3">
      <c r="B32" s="1424"/>
      <c r="C32" s="93"/>
      <c r="D32" s="40" t="s">
        <v>13</v>
      </c>
      <c r="E32" s="30">
        <v>6695278</v>
      </c>
      <c r="F32" s="5"/>
      <c r="G32" s="5"/>
      <c r="H32" s="5"/>
      <c r="I32" s="5"/>
      <c r="J32" s="5"/>
      <c r="K32" s="5"/>
    </row>
    <row r="33" spans="2:11" ht="15.75" thickBot="1" x14ac:dyDescent="0.3">
      <c r="B33" s="1425"/>
      <c r="C33" s="2"/>
      <c r="D33" s="40" t="s">
        <v>931</v>
      </c>
      <c r="E33" s="30" t="s">
        <v>2097</v>
      </c>
      <c r="F33" s="5"/>
      <c r="G33" s="5"/>
      <c r="H33" s="5"/>
      <c r="I33" s="5"/>
      <c r="J33" s="5"/>
      <c r="K33" s="5"/>
    </row>
    <row r="34" spans="2:11" ht="15.75" thickBot="1" x14ac:dyDescent="0.3">
      <c r="B34" s="1"/>
      <c r="C34" s="75"/>
      <c r="D34" s="5"/>
      <c r="E34" s="5"/>
      <c r="F34" s="5"/>
      <c r="G34" s="5"/>
      <c r="H34" s="5"/>
      <c r="I34" s="5"/>
      <c r="J34" s="5"/>
      <c r="K34" s="5"/>
    </row>
    <row r="35" spans="2:11" ht="15.75" thickBot="1" x14ac:dyDescent="0.3">
      <c r="B35" s="1426" t="s">
        <v>932</v>
      </c>
      <c r="C35" s="1427"/>
      <c r="D35" s="1427"/>
      <c r="E35" s="1428"/>
      <c r="F35" s="5"/>
      <c r="G35" s="5"/>
      <c r="H35" s="5"/>
      <c r="I35" s="5"/>
      <c r="J35" s="5"/>
      <c r="K35" s="5"/>
    </row>
    <row r="36" spans="2:11" ht="15.75" thickBot="1" x14ac:dyDescent="0.3">
      <c r="B36" s="1423">
        <v>1</v>
      </c>
      <c r="C36" s="93"/>
      <c r="D36" s="47" t="s">
        <v>929</v>
      </c>
      <c r="E36" s="217" t="s">
        <v>933</v>
      </c>
      <c r="F36" s="5"/>
      <c r="G36" s="5"/>
      <c r="H36" s="5"/>
      <c r="I36" s="5"/>
      <c r="J36" s="5"/>
      <c r="K36" s="5"/>
    </row>
    <row r="37" spans="2:11" ht="15.75" thickBot="1" x14ac:dyDescent="0.3">
      <c r="B37" s="1424"/>
      <c r="C37" s="93"/>
      <c r="D37" s="40" t="s">
        <v>7</v>
      </c>
      <c r="E37" s="217" t="s">
        <v>1025</v>
      </c>
      <c r="F37" s="5"/>
      <c r="G37" s="5"/>
      <c r="H37" s="5"/>
      <c r="I37" s="5"/>
      <c r="J37" s="5"/>
      <c r="K37" s="5"/>
    </row>
    <row r="38" spans="2:11" ht="15.75" thickBot="1" x14ac:dyDescent="0.3">
      <c r="B38" s="1424"/>
      <c r="C38" s="93"/>
      <c r="D38" s="40" t="s">
        <v>930</v>
      </c>
      <c r="E38" s="237"/>
      <c r="F38" s="5"/>
      <c r="G38" s="5"/>
      <c r="H38" s="5"/>
      <c r="I38" s="5"/>
      <c r="J38" s="5"/>
      <c r="K38" s="5"/>
    </row>
    <row r="39" spans="2:11" ht="15.75" thickBot="1" x14ac:dyDescent="0.3">
      <c r="B39" s="1424"/>
      <c r="C39" s="93"/>
      <c r="D39" s="40" t="s">
        <v>9</v>
      </c>
      <c r="E39" s="237"/>
      <c r="F39" s="5"/>
      <c r="G39" s="5"/>
      <c r="H39" s="5"/>
      <c r="I39" s="5"/>
      <c r="J39" s="5"/>
      <c r="K39" s="5"/>
    </row>
    <row r="40" spans="2:11" ht="15.75" thickBot="1" x14ac:dyDescent="0.3">
      <c r="B40" s="1424"/>
      <c r="C40" s="93"/>
      <c r="D40" s="40" t="s">
        <v>11</v>
      </c>
      <c r="E40" s="237"/>
      <c r="F40" s="5"/>
      <c r="G40" s="5"/>
      <c r="H40" s="5"/>
      <c r="I40" s="5"/>
      <c r="J40" s="5"/>
      <c r="K40" s="5"/>
    </row>
    <row r="41" spans="2:11" ht="15.75" thickBot="1" x14ac:dyDescent="0.3">
      <c r="B41" s="1424"/>
      <c r="C41" s="93"/>
      <c r="D41" s="40" t="s">
        <v>13</v>
      </c>
      <c r="E41" s="237"/>
      <c r="F41" s="5"/>
      <c r="G41" s="5"/>
      <c r="H41" s="5"/>
      <c r="I41" s="5"/>
      <c r="J41" s="5"/>
      <c r="K41" s="5"/>
    </row>
    <row r="42" spans="2:11" ht="15.75" thickBot="1" x14ac:dyDescent="0.3">
      <c r="B42" s="1425"/>
      <c r="C42" s="2"/>
      <c r="D42" s="40" t="s">
        <v>931</v>
      </c>
      <c r="E42" s="237"/>
      <c r="F42" s="5"/>
      <c r="G42" s="5"/>
      <c r="H42" s="5"/>
      <c r="I42" s="5"/>
      <c r="J42" s="5"/>
      <c r="K42" s="5"/>
    </row>
    <row r="43" spans="2:11" ht="15.75" thickBot="1" x14ac:dyDescent="0.3">
      <c r="B43" s="37"/>
      <c r="C43" s="87"/>
      <c r="D43" s="5"/>
      <c r="E43" s="5"/>
      <c r="F43" s="5"/>
      <c r="G43" s="5"/>
      <c r="H43" s="5"/>
      <c r="I43" s="5"/>
      <c r="J43" s="5"/>
      <c r="K43" s="5"/>
    </row>
    <row r="44" spans="2:11" ht="15" customHeight="1" thickBot="1" x14ac:dyDescent="0.3">
      <c r="B44" s="118" t="s">
        <v>935</v>
      </c>
      <c r="C44" s="119"/>
      <c r="D44" s="119"/>
      <c r="E44" s="120"/>
      <c r="G44" s="5"/>
      <c r="H44" s="5"/>
      <c r="I44" s="5"/>
      <c r="J44" s="5"/>
      <c r="K44" s="5"/>
    </row>
    <row r="45" spans="2:11" ht="24.75" thickBot="1" x14ac:dyDescent="0.3">
      <c r="B45" s="46" t="s">
        <v>936</v>
      </c>
      <c r="C45" s="40" t="s">
        <v>937</v>
      </c>
      <c r="D45" s="40" t="s">
        <v>938</v>
      </c>
      <c r="E45" s="40" t="s">
        <v>939</v>
      </c>
      <c r="F45" s="5"/>
      <c r="G45" s="5"/>
      <c r="H45" s="5"/>
      <c r="I45" s="5"/>
      <c r="J45" s="5"/>
    </row>
    <row r="46" spans="2:11" ht="72.75" thickBot="1" x14ac:dyDescent="0.3">
      <c r="B46" s="48">
        <v>42401</v>
      </c>
      <c r="C46" s="40">
        <v>0.01</v>
      </c>
      <c r="D46" s="49" t="s">
        <v>1549</v>
      </c>
      <c r="E46" s="40"/>
      <c r="F46" s="5"/>
      <c r="G46" s="5"/>
      <c r="H46" s="5"/>
      <c r="I46" s="5"/>
      <c r="J46" s="5"/>
    </row>
    <row r="47" spans="2:11" ht="15.75" thickBot="1" x14ac:dyDescent="0.3">
      <c r="B47" s="3"/>
      <c r="C47" s="94"/>
      <c r="D47" s="5"/>
      <c r="E47" s="5"/>
      <c r="F47" s="5"/>
      <c r="G47" s="5"/>
      <c r="H47" s="5"/>
      <c r="I47" s="5"/>
      <c r="J47" s="5"/>
      <c r="K47" s="5"/>
    </row>
    <row r="48" spans="2:11" ht="15.75" thickBot="1" x14ac:dyDescent="0.3">
      <c r="B48" s="128" t="s">
        <v>846</v>
      </c>
      <c r="C48" s="95"/>
      <c r="D48" s="5"/>
      <c r="E48" s="5"/>
      <c r="F48" s="5"/>
      <c r="G48" s="5"/>
      <c r="H48" s="5"/>
      <c r="I48" s="5"/>
      <c r="J48" s="5"/>
      <c r="K48" s="5"/>
    </row>
    <row r="49" spans="2:11" x14ac:dyDescent="0.25">
      <c r="B49" s="1556"/>
      <c r="C49" s="1557"/>
      <c r="D49" s="1557"/>
      <c r="E49" s="1558"/>
      <c r="F49" s="5"/>
      <c r="G49" s="5"/>
      <c r="H49" s="5"/>
      <c r="I49" s="5"/>
      <c r="J49" s="5"/>
      <c r="K49" s="5"/>
    </row>
    <row r="50" spans="2:11" ht="15.75" thickBot="1" x14ac:dyDescent="0.3">
      <c r="B50" s="1559"/>
      <c r="C50" s="1560"/>
      <c r="D50" s="1560"/>
      <c r="E50" s="1561"/>
      <c r="F50" s="5"/>
      <c r="G50" s="5"/>
      <c r="H50" s="5"/>
      <c r="I50" s="5"/>
      <c r="J50" s="5"/>
      <c r="K50" s="5"/>
    </row>
    <row r="51" spans="2:11" ht="15.75" thickBot="1" x14ac:dyDescent="0.3">
      <c r="B51" s="5"/>
      <c r="D51" s="5"/>
      <c r="E51" s="5"/>
      <c r="F51" s="5"/>
      <c r="G51" s="5"/>
      <c r="H51" s="5"/>
      <c r="I51" s="5"/>
      <c r="J51" s="5"/>
      <c r="K51" s="5"/>
    </row>
    <row r="52" spans="2:11" ht="24.75" thickBot="1" x14ac:dyDescent="0.3">
      <c r="B52" s="50" t="s">
        <v>941</v>
      </c>
      <c r="C52" s="96"/>
      <c r="D52" s="5"/>
      <c r="E52" s="5"/>
      <c r="F52" s="5"/>
      <c r="G52" s="5"/>
      <c r="H52" s="5"/>
      <c r="I52" s="5"/>
      <c r="J52" s="5"/>
      <c r="K52" s="5"/>
    </row>
    <row r="53" spans="2:11" ht="15.75" thickBot="1" x14ac:dyDescent="0.3">
      <c r="B53" s="1"/>
      <c r="C53" s="75"/>
      <c r="D53" s="5"/>
      <c r="E53" s="5"/>
      <c r="F53" s="5"/>
      <c r="G53" s="5"/>
      <c r="H53" s="5"/>
      <c r="I53" s="5"/>
      <c r="J53" s="5"/>
      <c r="K53" s="5"/>
    </row>
    <row r="54" spans="2:11" ht="84.75" thickBot="1" x14ac:dyDescent="0.3">
      <c r="B54" s="51" t="s">
        <v>942</v>
      </c>
      <c r="C54" s="97"/>
      <c r="D54" s="43" t="s">
        <v>1550</v>
      </c>
      <c r="E54" s="5"/>
      <c r="F54" s="5"/>
      <c r="G54" s="5"/>
      <c r="H54" s="5"/>
      <c r="I54" s="5"/>
      <c r="J54" s="5"/>
      <c r="K54" s="5"/>
    </row>
    <row r="55" spans="2:11" x14ac:dyDescent="0.25">
      <c r="B55" s="1423" t="s">
        <v>944</v>
      </c>
      <c r="C55" s="93"/>
      <c r="D55" s="52" t="s">
        <v>945</v>
      </c>
      <c r="E55" s="5"/>
      <c r="F55" s="5"/>
      <c r="G55" s="5"/>
      <c r="H55" s="5"/>
      <c r="I55" s="5"/>
      <c r="J55" s="5"/>
      <c r="K55" s="5"/>
    </row>
    <row r="56" spans="2:11" ht="84" x14ac:dyDescent="0.25">
      <c r="B56" s="1424"/>
      <c r="C56" s="93"/>
      <c r="D56" s="45" t="s">
        <v>1551</v>
      </c>
      <c r="E56" s="5"/>
      <c r="F56" s="5"/>
      <c r="G56" s="5"/>
      <c r="H56" s="5"/>
      <c r="I56" s="5"/>
      <c r="J56" s="5"/>
      <c r="K56" s="5"/>
    </row>
    <row r="57" spans="2:11" x14ac:dyDescent="0.25">
      <c r="B57" s="1424"/>
      <c r="C57" s="93"/>
      <c r="D57" s="52" t="s">
        <v>1029</v>
      </c>
      <c r="E57" s="5"/>
      <c r="F57" s="5"/>
      <c r="G57" s="5"/>
      <c r="H57" s="5"/>
      <c r="I57" s="5"/>
      <c r="J57" s="5"/>
      <c r="K57" s="5"/>
    </row>
    <row r="58" spans="2:11" x14ac:dyDescent="0.25">
      <c r="B58" s="1424"/>
      <c r="C58" s="93"/>
      <c r="D58" s="45" t="s">
        <v>949</v>
      </c>
      <c r="E58" s="5"/>
      <c r="F58" s="5"/>
      <c r="G58" s="5"/>
      <c r="H58" s="5"/>
      <c r="I58" s="5"/>
      <c r="J58" s="5"/>
      <c r="K58" s="5"/>
    </row>
    <row r="59" spans="2:11" ht="36" x14ac:dyDescent="0.25">
      <c r="B59" s="1424"/>
      <c r="C59" s="93"/>
      <c r="D59" s="45" t="s">
        <v>1552</v>
      </c>
      <c r="E59" s="5"/>
      <c r="F59" s="5"/>
      <c r="G59" s="5"/>
      <c r="H59" s="5"/>
      <c r="I59" s="5"/>
      <c r="J59" s="5"/>
      <c r="K59" s="5"/>
    </row>
    <row r="60" spans="2:11" ht="24" x14ac:dyDescent="0.25">
      <c r="B60" s="1424"/>
      <c r="C60" s="93"/>
      <c r="D60" s="45" t="s">
        <v>1553</v>
      </c>
      <c r="E60" s="5"/>
      <c r="F60" s="5"/>
      <c r="G60" s="5"/>
      <c r="H60" s="5"/>
      <c r="I60" s="5"/>
      <c r="J60" s="5"/>
      <c r="K60" s="5"/>
    </row>
    <row r="61" spans="2:11" x14ac:dyDescent="0.25">
      <c r="B61" s="1424"/>
      <c r="C61" s="93"/>
      <c r="D61" s="45" t="s">
        <v>1554</v>
      </c>
      <c r="E61" s="5"/>
      <c r="F61" s="5"/>
      <c r="G61" s="5"/>
      <c r="H61" s="5"/>
      <c r="I61" s="5"/>
      <c r="J61" s="5"/>
      <c r="K61" s="5"/>
    </row>
    <row r="62" spans="2:11" x14ac:dyDescent="0.25">
      <c r="B62" s="1424"/>
      <c r="C62" s="93"/>
      <c r="D62" s="52" t="s">
        <v>1036</v>
      </c>
      <c r="E62" s="5"/>
      <c r="F62" s="5"/>
      <c r="G62" s="5"/>
      <c r="H62" s="5"/>
      <c r="I62" s="5"/>
      <c r="J62" s="5"/>
      <c r="K62" s="5"/>
    </row>
    <row r="63" spans="2:11" ht="60.75" thickBot="1" x14ac:dyDescent="0.3">
      <c r="B63" s="1425"/>
      <c r="C63" s="2"/>
      <c r="D63" s="40" t="s">
        <v>1555</v>
      </c>
      <c r="E63" s="5"/>
      <c r="F63" s="5"/>
      <c r="G63" s="5"/>
      <c r="H63" s="5"/>
      <c r="I63" s="5"/>
      <c r="J63" s="5"/>
      <c r="K63" s="5"/>
    </row>
    <row r="64" spans="2:11" ht="24.75" thickBot="1" x14ac:dyDescent="0.3">
      <c r="B64" s="46" t="s">
        <v>957</v>
      </c>
      <c r="C64" s="2"/>
      <c r="D64" s="40"/>
      <c r="E64" s="5"/>
      <c r="F64" s="5"/>
      <c r="G64" s="5"/>
      <c r="H64" s="5"/>
      <c r="I64" s="5"/>
      <c r="J64" s="5"/>
      <c r="K64" s="5"/>
    </row>
    <row r="65" spans="2:11" ht="276" x14ac:dyDescent="0.25">
      <c r="B65" s="1423" t="s">
        <v>958</v>
      </c>
      <c r="C65" s="93"/>
      <c r="D65" s="45" t="s">
        <v>1556</v>
      </c>
      <c r="E65" s="5"/>
      <c r="F65" s="5"/>
      <c r="G65" s="5"/>
      <c r="H65" s="5"/>
      <c r="I65" s="5"/>
      <c r="J65" s="5"/>
      <c r="K65" s="5"/>
    </row>
    <row r="66" spans="2:11" ht="132" x14ac:dyDescent="0.25">
      <c r="B66" s="1424"/>
      <c r="C66" s="93"/>
      <c r="D66" s="45" t="s">
        <v>1557</v>
      </c>
      <c r="E66" s="5"/>
      <c r="F66" s="5"/>
      <c r="G66" s="5"/>
      <c r="H66" s="5"/>
      <c r="I66" s="5"/>
      <c r="J66" s="5"/>
      <c r="K66" s="5"/>
    </row>
    <row r="67" spans="2:11" ht="72.75" thickBot="1" x14ac:dyDescent="0.3">
      <c r="B67" s="1425"/>
      <c r="C67" s="2"/>
      <c r="D67" s="40" t="s">
        <v>1558</v>
      </c>
      <c r="E67" s="5"/>
      <c r="F67" s="5"/>
      <c r="G67" s="5"/>
      <c r="H67" s="5"/>
      <c r="I67" s="5"/>
      <c r="J67" s="5"/>
      <c r="K67" s="5"/>
    </row>
    <row r="68" spans="2:11" x14ac:dyDescent="0.25">
      <c r="B68" s="1423" t="s">
        <v>975</v>
      </c>
      <c r="C68" s="93"/>
      <c r="D68" s="45"/>
      <c r="E68" s="5"/>
      <c r="F68" s="5"/>
      <c r="G68" s="5"/>
      <c r="H68" s="5"/>
      <c r="I68" s="5"/>
      <c r="J68" s="5"/>
      <c r="K68" s="5"/>
    </row>
    <row r="69" spans="2:11" x14ac:dyDescent="0.25">
      <c r="B69" s="1424"/>
      <c r="C69" s="93"/>
      <c r="D69" s="16"/>
      <c r="E69" s="5"/>
      <c r="F69" s="5"/>
      <c r="G69" s="5"/>
      <c r="H69" s="5"/>
      <c r="I69" s="5"/>
      <c r="J69" s="5"/>
      <c r="K69" s="5"/>
    </row>
    <row r="70" spans="2:11" x14ac:dyDescent="0.25">
      <c r="B70" s="1424"/>
      <c r="C70" s="93"/>
      <c r="D70" s="45" t="s">
        <v>976</v>
      </c>
      <c r="E70" s="5"/>
      <c r="F70" s="5"/>
      <c r="G70" s="5"/>
      <c r="H70" s="5"/>
      <c r="I70" s="5"/>
      <c r="J70" s="5"/>
      <c r="K70" s="5"/>
    </row>
    <row r="71" spans="2:11" ht="61.5" x14ac:dyDescent="0.25">
      <c r="B71" s="1424"/>
      <c r="C71" s="93"/>
      <c r="D71" s="45" t="s">
        <v>1559</v>
      </c>
      <c r="E71" s="5"/>
      <c r="F71" s="5"/>
      <c r="G71" s="5"/>
      <c r="H71" s="5"/>
      <c r="I71" s="5"/>
      <c r="J71" s="5"/>
      <c r="K71" s="5"/>
    </row>
    <row r="72" spans="2:11" ht="49.5" x14ac:dyDescent="0.25">
      <c r="B72" s="1424"/>
      <c r="C72" s="93"/>
      <c r="D72" s="45" t="s">
        <v>1560</v>
      </c>
      <c r="E72" s="5"/>
      <c r="F72" s="5"/>
      <c r="G72" s="5"/>
      <c r="H72" s="5"/>
      <c r="I72" s="5"/>
      <c r="J72" s="5"/>
      <c r="K72" s="5"/>
    </row>
    <row r="73" spans="2:11" ht="49.5" x14ac:dyDescent="0.25">
      <c r="B73" s="1424"/>
      <c r="C73" s="93"/>
      <c r="D73" s="45" t="s">
        <v>1561</v>
      </c>
      <c r="E73" s="5"/>
      <c r="F73" s="5"/>
      <c r="G73" s="5"/>
      <c r="H73" s="5"/>
      <c r="I73" s="5"/>
      <c r="J73" s="5"/>
      <c r="K73" s="5"/>
    </row>
    <row r="74" spans="2:11" ht="72.75" thickBot="1" x14ac:dyDescent="0.3">
      <c r="B74" s="1425"/>
      <c r="C74" s="2"/>
      <c r="D74" s="40" t="s">
        <v>1562</v>
      </c>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A1:P1"/>
    <mergeCell ref="A2:P2"/>
    <mergeCell ref="A3:P3"/>
    <mergeCell ref="A4:D4"/>
    <mergeCell ref="A5:P5"/>
    <mergeCell ref="B55:B63"/>
    <mergeCell ref="B65:B67"/>
    <mergeCell ref="B68:B74"/>
    <mergeCell ref="B15:B22"/>
    <mergeCell ref="D15:I15"/>
    <mergeCell ref="D18:I18"/>
    <mergeCell ref="D23:I23"/>
    <mergeCell ref="D24:I24"/>
    <mergeCell ref="B26:E26"/>
    <mergeCell ref="B27:B33"/>
    <mergeCell ref="B35:E35"/>
    <mergeCell ref="B36:B42"/>
    <mergeCell ref="B49:E50"/>
    <mergeCell ref="B10:D10"/>
    <mergeCell ref="F10:S10"/>
    <mergeCell ref="F11:S11"/>
    <mergeCell ref="E12:R12"/>
    <mergeCell ref="E13:R13"/>
  </mergeCells>
  <conditionalFormatting sqref="F10">
    <cfRule type="notContainsBlanks" dxfId="61" priority="4">
      <formula>LEN(TRIM(F10))&gt;0</formula>
    </cfRule>
  </conditionalFormatting>
  <conditionalFormatting sqref="F11:S11">
    <cfRule type="expression" dxfId="60" priority="2">
      <formula>E11="NO SE REPORTA"</formula>
    </cfRule>
    <cfRule type="expression" dxfId="59" priority="3">
      <formula>E10="NO APLICA"</formula>
    </cfRule>
  </conditionalFormatting>
  <conditionalFormatting sqref="E12:R12">
    <cfRule type="expression" dxfId="58"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formula1>0</formula1>
    </dataValidation>
    <dataValidation allowBlank="1" showInputMessage="1" showErrorMessage="1" sqref="I20:I21"/>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28"/>
  <sheetViews>
    <sheetView topLeftCell="A3" workbookViewId="0">
      <selection sqref="A1:XFD1048576"/>
    </sheetView>
  </sheetViews>
  <sheetFormatPr baseColWidth="10" defaultColWidth="11.42578125" defaultRowHeight="12.75" x14ac:dyDescent="0.2"/>
  <cols>
    <col min="1" max="16384" width="11.42578125" style="490"/>
  </cols>
  <sheetData>
    <row r="1" spans="1:2" x14ac:dyDescent="0.2">
      <c r="A1" s="490" t="s">
        <v>80</v>
      </c>
      <c r="B1" s="491" t="s">
        <v>81</v>
      </c>
    </row>
    <row r="2" spans="1:2" x14ac:dyDescent="0.2">
      <c r="A2" s="490" t="s">
        <v>82</v>
      </c>
      <c r="B2" s="491" t="s">
        <v>83</v>
      </c>
    </row>
    <row r="3" spans="1:2" x14ac:dyDescent="0.2">
      <c r="A3" s="490" t="s">
        <v>84</v>
      </c>
      <c r="B3" s="491" t="s">
        <v>85</v>
      </c>
    </row>
    <row r="4" spans="1:2" x14ac:dyDescent="0.2">
      <c r="A4" s="490" t="s">
        <v>86</v>
      </c>
      <c r="B4" s="491" t="s">
        <v>87</v>
      </c>
    </row>
    <row r="5" spans="1:2" x14ac:dyDescent="0.2">
      <c r="A5" s="490" t="s">
        <v>88</v>
      </c>
      <c r="B5" s="491" t="s">
        <v>89</v>
      </c>
    </row>
    <row r="6" spans="1:2" x14ac:dyDescent="0.2">
      <c r="A6" s="490" t="s">
        <v>90</v>
      </c>
      <c r="B6" s="491" t="s">
        <v>91</v>
      </c>
    </row>
    <row r="7" spans="1:2" x14ac:dyDescent="0.2">
      <c r="A7" s="490" t="s">
        <v>92</v>
      </c>
      <c r="B7" s="491" t="s">
        <v>93</v>
      </c>
    </row>
    <row r="8" spans="1:2" x14ac:dyDescent="0.2">
      <c r="A8" s="490" t="s">
        <v>94</v>
      </c>
      <c r="B8" s="491" t="s">
        <v>95</v>
      </c>
    </row>
    <row r="9" spans="1:2" x14ac:dyDescent="0.2">
      <c r="A9" s="490" t="s">
        <v>96</v>
      </c>
      <c r="B9" s="491" t="s">
        <v>97</v>
      </c>
    </row>
    <row r="10" spans="1:2" x14ac:dyDescent="0.2">
      <c r="A10" s="490" t="s">
        <v>98</v>
      </c>
      <c r="B10" s="491" t="s">
        <v>99</v>
      </c>
    </row>
    <row r="11" spans="1:2" x14ac:dyDescent="0.2">
      <c r="B11" s="491" t="s">
        <v>100</v>
      </c>
    </row>
    <row r="12" spans="1:2" x14ac:dyDescent="0.2">
      <c r="B12" s="491" t="s">
        <v>101</v>
      </c>
    </row>
    <row r="13" spans="1:2" x14ac:dyDescent="0.2">
      <c r="B13" s="491" t="s">
        <v>102</v>
      </c>
    </row>
    <row r="14" spans="1:2" x14ac:dyDescent="0.2">
      <c r="B14" s="491" t="s">
        <v>103</v>
      </c>
    </row>
    <row r="15" spans="1:2" x14ac:dyDescent="0.2">
      <c r="B15" s="491" t="s">
        <v>104</v>
      </c>
    </row>
    <row r="16" spans="1:2" x14ac:dyDescent="0.2">
      <c r="B16" s="491" t="s">
        <v>105</v>
      </c>
    </row>
    <row r="17" spans="2:2" x14ac:dyDescent="0.2">
      <c r="B17" s="491" t="s">
        <v>106</v>
      </c>
    </row>
    <row r="18" spans="2:2" x14ac:dyDescent="0.2">
      <c r="B18" s="491" t="s">
        <v>107</v>
      </c>
    </row>
    <row r="19" spans="2:2" x14ac:dyDescent="0.2">
      <c r="B19" s="491" t="s">
        <v>108</v>
      </c>
    </row>
    <row r="20" spans="2:2" x14ac:dyDescent="0.2">
      <c r="B20" s="491" t="s">
        <v>109</v>
      </c>
    </row>
    <row r="21" spans="2:2" x14ac:dyDescent="0.2">
      <c r="B21" s="491" t="s">
        <v>110</v>
      </c>
    </row>
    <row r="22" spans="2:2" x14ac:dyDescent="0.2">
      <c r="B22" s="491" t="s">
        <v>111</v>
      </c>
    </row>
    <row r="23" spans="2:2" x14ac:dyDescent="0.2">
      <c r="B23" s="491" t="s">
        <v>112</v>
      </c>
    </row>
    <row r="24" spans="2:2" x14ac:dyDescent="0.2">
      <c r="B24" s="491" t="s">
        <v>113</v>
      </c>
    </row>
    <row r="25" spans="2:2" x14ac:dyDescent="0.2">
      <c r="B25" s="491" t="s">
        <v>114</v>
      </c>
    </row>
    <row r="26" spans="2:2" x14ac:dyDescent="0.2">
      <c r="B26" s="491" t="s">
        <v>115</v>
      </c>
    </row>
    <row r="27" spans="2:2" x14ac:dyDescent="0.2">
      <c r="B27" s="491" t="s">
        <v>116</v>
      </c>
    </row>
    <row r="28" spans="2:2" x14ac:dyDescent="0.2">
      <c r="B28" s="490" t="s">
        <v>98</v>
      </c>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 ref="B21" location="'21TiempoT'!_Toc467769488" display="Tiempo promedio de trámite para la resolución de autorizaciones ambientales otorgadas por la corporación"/>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dimension ref="A1:U176"/>
  <sheetViews>
    <sheetView showGridLines="0" topLeftCell="C1" zoomScale="98" zoomScaleNormal="98" workbookViewId="0">
      <selection activeCell="G18" sqref="G18:G19"/>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7" width="25" customWidth="1"/>
    <col min="8" max="8" width="15.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107</v>
      </c>
      <c r="B5" s="1395"/>
      <c r="C5" s="1395"/>
      <c r="D5" s="1395"/>
      <c r="E5" s="1395"/>
      <c r="F5" s="1395"/>
      <c r="G5" s="1395"/>
      <c r="H5" s="1395"/>
      <c r="I5" s="1395"/>
      <c r="J5" s="1395"/>
      <c r="K5" s="1395"/>
      <c r="L5" s="1395"/>
      <c r="M5" s="1395"/>
      <c r="N5" s="1395"/>
      <c r="O5" s="1395"/>
      <c r="P5" s="1396"/>
    </row>
    <row r="6" spans="1:21" x14ac:dyDescent="0.25">
      <c r="B6" s="1" t="s">
        <v>878</v>
      </c>
      <c r="C6" s="75"/>
      <c r="D6" s="5"/>
      <c r="E6" s="73">
        <f>+G19</f>
        <v>0</v>
      </c>
      <c r="F6" s="5" t="s">
        <v>879</v>
      </c>
      <c r="G6" s="5"/>
      <c r="H6" s="5"/>
      <c r="I6" s="5"/>
      <c r="J6" s="5"/>
      <c r="K6" s="5"/>
    </row>
    <row r="7" spans="1:21" ht="15.75" thickBot="1" x14ac:dyDescent="0.3">
      <c r="B7" s="27"/>
      <c r="C7" s="76"/>
      <c r="D7" s="5"/>
      <c r="E7" s="17"/>
      <c r="F7" s="5" t="s">
        <v>880</v>
      </c>
      <c r="G7" s="5"/>
      <c r="H7" s="5"/>
      <c r="I7" s="5"/>
      <c r="J7" s="5"/>
      <c r="K7" s="5"/>
    </row>
    <row r="8" spans="1:21" ht="15.75" thickBot="1" x14ac:dyDescent="0.3">
      <c r="B8" s="170" t="s">
        <v>881</v>
      </c>
      <c r="C8" s="210">
        <v>2022</v>
      </c>
      <c r="D8" s="214">
        <f>IF(E10="NO APLICA","NO APLICA",IF(E11="NO SE REPORTA","SIN INFORMACION",+F20))</f>
        <v>0</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 customHeight="1" thickTop="1" x14ac:dyDescent="0.25">
      <c r="B15" s="1478" t="s">
        <v>888</v>
      </c>
      <c r="C15" s="88"/>
      <c r="D15" s="1408" t="s">
        <v>1189</v>
      </c>
      <c r="E15" s="1409"/>
      <c r="F15" s="1409"/>
      <c r="G15" s="1409"/>
      <c r="H15" s="1409"/>
      <c r="I15" s="1409"/>
      <c r="J15" s="1409"/>
      <c r="K15" s="1410"/>
    </row>
    <row r="16" spans="1:21" ht="15.75" thickBot="1" x14ac:dyDescent="0.3">
      <c r="B16" s="1403"/>
      <c r="C16" s="91"/>
      <c r="D16" s="1562" t="s">
        <v>107</v>
      </c>
      <c r="E16" s="1563"/>
      <c r="F16" s="1563"/>
      <c r="G16" s="1563"/>
      <c r="H16" s="1563"/>
      <c r="I16" s="1563"/>
      <c r="J16" s="1563"/>
      <c r="K16" s="1564"/>
    </row>
    <row r="17" spans="2:12" ht="15.75" thickBot="1" x14ac:dyDescent="0.3">
      <c r="B17" s="1403"/>
      <c r="C17" s="89" t="s">
        <v>842</v>
      </c>
      <c r="D17" s="38" t="s">
        <v>1099</v>
      </c>
      <c r="E17" s="38" t="s">
        <v>909</v>
      </c>
      <c r="F17" s="38" t="s">
        <v>910</v>
      </c>
      <c r="G17" s="38" t="s">
        <v>911</v>
      </c>
      <c r="H17" s="38" t="s">
        <v>912</v>
      </c>
      <c r="I17" s="38" t="s">
        <v>1497</v>
      </c>
      <c r="K17" s="21"/>
    </row>
    <row r="18" spans="2:12" ht="36.75" thickBot="1" x14ac:dyDescent="0.3">
      <c r="B18" s="1403"/>
      <c r="C18" s="90" t="s">
        <v>1017</v>
      </c>
      <c r="D18" s="40" t="s">
        <v>1563</v>
      </c>
      <c r="E18" s="6">
        <v>0</v>
      </c>
      <c r="F18" s="6">
        <v>1</v>
      </c>
      <c r="G18" s="594">
        <v>0</v>
      </c>
      <c r="H18" s="6"/>
      <c r="I18" s="42">
        <f>SUM(E18:H18)</f>
        <v>1</v>
      </c>
      <c r="K18" s="21"/>
    </row>
    <row r="19" spans="2:12" ht="36.75" thickBot="1" x14ac:dyDescent="0.3">
      <c r="B19" s="1403"/>
      <c r="C19" s="90" t="s">
        <v>1019</v>
      </c>
      <c r="D19" s="40" t="s">
        <v>1564</v>
      </c>
      <c r="E19" s="6">
        <v>0</v>
      </c>
      <c r="F19" s="6">
        <v>0</v>
      </c>
      <c r="G19" s="594">
        <v>0</v>
      </c>
      <c r="H19" s="6"/>
      <c r="I19" s="42">
        <f>SUM(E19:H19)</f>
        <v>0</v>
      </c>
      <c r="K19" s="21"/>
    </row>
    <row r="20" spans="2:12" ht="48.75" thickBot="1" x14ac:dyDescent="0.3">
      <c r="B20" s="1403"/>
      <c r="C20" s="90" t="s">
        <v>1021</v>
      </c>
      <c r="D20" s="40" t="s">
        <v>1565</v>
      </c>
      <c r="E20" s="137">
        <f>IFERROR(E19/E18,0)</f>
        <v>0</v>
      </c>
      <c r="F20" s="137">
        <f>IFERROR(F19/F18,0)</f>
        <v>0</v>
      </c>
      <c r="G20" s="137">
        <f>IFERROR(G19/G18,0)</f>
        <v>0</v>
      </c>
      <c r="H20" s="137">
        <f>IFERROR(H19/H18,0)</f>
        <v>0</v>
      </c>
      <c r="I20" s="137">
        <f>IFERROR(I19/I18,0)</f>
        <v>0</v>
      </c>
      <c r="K20" s="21"/>
    </row>
    <row r="21" spans="2:12" x14ac:dyDescent="0.25">
      <c r="B21" s="216"/>
      <c r="C21" s="91"/>
      <c r="D21" s="1414"/>
      <c r="E21" s="1415"/>
      <c r="F21" s="1415"/>
      <c r="G21" s="1415"/>
      <c r="H21" s="1415"/>
      <c r="I21" s="1415"/>
      <c r="J21" s="1415"/>
      <c r="K21" s="1416"/>
    </row>
    <row r="22" spans="2:12" x14ac:dyDescent="0.25">
      <c r="B22" s="216"/>
      <c r="C22" s="91"/>
      <c r="D22" s="1562" t="s">
        <v>1566</v>
      </c>
      <c r="E22" s="1563"/>
      <c r="F22" s="1563"/>
      <c r="G22" s="1563"/>
      <c r="H22" s="1563"/>
      <c r="I22" s="1563"/>
      <c r="J22" s="1563"/>
      <c r="K22" s="1564"/>
    </row>
    <row r="23" spans="2:12" ht="24" customHeight="1" thickBot="1" x14ac:dyDescent="0.3">
      <c r="B23" s="216"/>
      <c r="C23" s="91"/>
      <c r="D23" s="1576" t="s">
        <v>1567</v>
      </c>
      <c r="E23" s="1577"/>
      <c r="F23" s="1577"/>
      <c r="G23" s="1577"/>
      <c r="H23" s="1577"/>
      <c r="I23" s="1577"/>
      <c r="J23" s="1577"/>
      <c r="K23" s="1578"/>
    </row>
    <row r="24" spans="2:12" ht="15.75" thickBot="1" x14ac:dyDescent="0.3">
      <c r="B24" s="216"/>
      <c r="C24" s="1410" t="s">
        <v>842</v>
      </c>
      <c r="D24" s="1423" t="s">
        <v>1118</v>
      </c>
      <c r="E24" s="1423" t="s">
        <v>1500</v>
      </c>
      <c r="F24" s="1520" t="s">
        <v>1568</v>
      </c>
      <c r="G24" s="1579" t="s">
        <v>1569</v>
      </c>
      <c r="H24" s="1580"/>
      <c r="I24" s="1580"/>
      <c r="J24" s="1581"/>
      <c r="K24" s="116"/>
    </row>
    <row r="25" spans="2:12" x14ac:dyDescent="0.25">
      <c r="B25" s="216"/>
      <c r="C25" s="1416"/>
      <c r="D25" s="1424"/>
      <c r="E25" s="1424"/>
      <c r="F25" s="1537"/>
      <c r="G25" s="68" t="s">
        <v>1374</v>
      </c>
      <c r="H25" s="1520" t="s">
        <v>1570</v>
      </c>
      <c r="I25" s="1520" t="s">
        <v>1122</v>
      </c>
      <c r="J25" s="1520" t="s">
        <v>1123</v>
      </c>
      <c r="K25" s="11"/>
    </row>
    <row r="26" spans="2:12" ht="15.75" thickBot="1" x14ac:dyDescent="0.3">
      <c r="B26" s="216"/>
      <c r="C26" s="1440"/>
      <c r="D26" s="1425"/>
      <c r="E26" s="1425"/>
      <c r="F26" s="1521"/>
      <c r="G26" s="64" t="s">
        <v>1571</v>
      </c>
      <c r="H26" s="1521"/>
      <c r="I26" s="1521"/>
      <c r="J26" s="1521"/>
      <c r="K26" s="11"/>
    </row>
    <row r="27" spans="2:12" ht="15.75" thickBot="1" x14ac:dyDescent="0.3">
      <c r="B27" s="216"/>
      <c r="C27" s="30"/>
      <c r="D27" s="30"/>
      <c r="E27" s="334"/>
      <c r="F27" s="30"/>
      <c r="G27" s="206"/>
      <c r="H27" s="206"/>
      <c r="I27" s="206"/>
      <c r="J27" s="206"/>
      <c r="K27" s="11"/>
      <c r="L27" s="213"/>
    </row>
    <row r="28" spans="2:12" ht="15.75" thickBot="1" x14ac:dyDescent="0.3">
      <c r="B28" s="216"/>
      <c r="C28" s="30"/>
      <c r="D28" s="30"/>
      <c r="E28" s="334"/>
      <c r="F28" s="30"/>
      <c r="G28" s="206"/>
      <c r="H28" s="206"/>
      <c r="I28" s="206"/>
      <c r="J28" s="206"/>
      <c r="K28" s="11"/>
      <c r="L28" s="213"/>
    </row>
    <row r="29" spans="2:12" ht="15.75" thickBot="1" x14ac:dyDescent="0.3">
      <c r="B29" s="216"/>
      <c r="C29" s="39"/>
      <c r="D29" s="39" t="s">
        <v>1016</v>
      </c>
      <c r="E29" s="39"/>
      <c r="F29" s="40"/>
      <c r="G29" s="135">
        <f>SUM(G27:G28)</f>
        <v>0</v>
      </c>
      <c r="H29" s="135">
        <f>SUM(H27:H28)</f>
        <v>0</v>
      </c>
      <c r="I29" s="135">
        <f>SUM(I27:I28)</f>
        <v>0</v>
      </c>
      <c r="J29" s="135">
        <f>SUM(J27:J28)</f>
        <v>0</v>
      </c>
      <c r="K29" s="12"/>
    </row>
    <row r="30" spans="2:12" x14ac:dyDescent="0.25">
      <c r="B30" s="216"/>
      <c r="C30" s="91"/>
      <c r="D30" s="1408" t="s">
        <v>1509</v>
      </c>
      <c r="E30" s="1409"/>
      <c r="F30" s="1409"/>
      <c r="G30" s="1409"/>
      <c r="H30" s="1409"/>
      <c r="I30" s="1409"/>
      <c r="J30" s="1409"/>
      <c r="K30" s="1410"/>
    </row>
    <row r="31" spans="2:12" ht="24" customHeight="1" thickBot="1" x14ac:dyDescent="0.3">
      <c r="B31" s="216"/>
      <c r="C31" s="91"/>
      <c r="D31" s="1414" t="s">
        <v>1572</v>
      </c>
      <c r="E31" s="1415"/>
      <c r="F31" s="1415"/>
      <c r="G31" s="1415"/>
      <c r="H31" s="1415"/>
      <c r="I31" s="1415"/>
      <c r="J31" s="1415"/>
      <c r="K31" s="1416"/>
    </row>
    <row r="32" spans="2:12" ht="15.75" thickBot="1" x14ac:dyDescent="0.3">
      <c r="B32" s="216"/>
      <c r="C32" s="1422" t="s">
        <v>842</v>
      </c>
      <c r="D32" s="1565" t="s">
        <v>1573</v>
      </c>
      <c r="E32" s="1568" t="s">
        <v>1574</v>
      </c>
      <c r="F32" s="1569"/>
      <c r="G32" s="69"/>
      <c r="H32" s="5"/>
      <c r="I32" s="5"/>
      <c r="K32" s="21"/>
    </row>
    <row r="33" spans="2:11" x14ac:dyDescent="0.25">
      <c r="B33" s="216"/>
      <c r="C33" s="1413"/>
      <c r="D33" s="1566"/>
      <c r="E33" s="1423" t="s">
        <v>1575</v>
      </c>
      <c r="F33" s="45" t="s">
        <v>1576</v>
      </c>
      <c r="G33" s="1423" t="s">
        <v>846</v>
      </c>
      <c r="H33" s="5"/>
      <c r="I33" s="5"/>
      <c r="K33" s="21"/>
    </row>
    <row r="34" spans="2:11" ht="15.75" thickBot="1" x14ac:dyDescent="0.3">
      <c r="B34" s="216"/>
      <c r="C34" s="1407"/>
      <c r="D34" s="1567"/>
      <c r="E34" s="1425"/>
      <c r="F34" s="500" t="s">
        <v>1570</v>
      </c>
      <c r="G34" s="1425"/>
      <c r="H34" s="5"/>
      <c r="I34" s="5"/>
      <c r="K34" s="21"/>
    </row>
    <row r="35" spans="2:11" ht="15.75" thickBot="1" x14ac:dyDescent="0.3">
      <c r="B35" s="216"/>
      <c r="C35" s="336">
        <v>1</v>
      </c>
      <c r="D35" s="157"/>
      <c r="E35" s="141">
        <f>IFERROR(I27/H27,0)</f>
        <v>0</v>
      </c>
      <c r="F35" s="141">
        <f>IFERROR(J27/I27,0)</f>
        <v>0</v>
      </c>
      <c r="G35" s="334"/>
      <c r="H35" s="5"/>
      <c r="I35" s="5"/>
      <c r="K35" s="21"/>
    </row>
    <row r="36" spans="2:11" ht="15.75" thickBot="1" x14ac:dyDescent="0.3">
      <c r="B36" s="216"/>
      <c r="C36" s="336">
        <v>2</v>
      </c>
      <c r="D36" s="157"/>
      <c r="E36" s="141">
        <f>IFERROR(I28/H28,0)</f>
        <v>0</v>
      </c>
      <c r="F36" s="141">
        <f>IFERROR(J28/I28,0)</f>
        <v>0</v>
      </c>
      <c r="G36" s="334"/>
      <c r="H36" s="5"/>
      <c r="I36" s="5"/>
      <c r="K36" s="21"/>
    </row>
    <row r="37" spans="2:11" ht="15.75" thickBot="1" x14ac:dyDescent="0.3">
      <c r="B37" s="216"/>
      <c r="C37" s="336">
        <v>3</v>
      </c>
      <c r="D37" s="157"/>
      <c r="E37" s="141">
        <f>IFERROR(#REF!/#REF!,0)</f>
        <v>0</v>
      </c>
      <c r="F37" s="141">
        <f>IFERROR(#REF!/#REF!,0)</f>
        <v>0</v>
      </c>
      <c r="G37" s="334"/>
      <c r="H37" s="5"/>
      <c r="I37" s="5"/>
      <c r="K37" s="21"/>
    </row>
    <row r="38" spans="2:11" ht="15.75" thickBot="1" x14ac:dyDescent="0.3">
      <c r="B38" s="216"/>
      <c r="C38" s="336">
        <v>4</v>
      </c>
      <c r="D38" s="157"/>
      <c r="E38" s="141">
        <f>IFERROR(#REF!/#REF!,0)</f>
        <v>0</v>
      </c>
      <c r="F38" s="141">
        <f>IFERROR(#REF!/#REF!,0)</f>
        <v>0</v>
      </c>
      <c r="G38" s="334"/>
      <c r="H38" s="5"/>
      <c r="I38" s="5"/>
      <c r="K38" s="21"/>
    </row>
    <row r="39" spans="2:11" ht="15.75" thickBot="1" x14ac:dyDescent="0.3">
      <c r="B39" s="216"/>
      <c r="C39" s="336">
        <v>5</v>
      </c>
      <c r="D39" s="157"/>
      <c r="E39" s="141">
        <f>IFERROR(#REF!/#REF!,0)</f>
        <v>0</v>
      </c>
      <c r="F39" s="141">
        <f>IFERROR(#REF!/#REF!,0)</f>
        <v>0</v>
      </c>
      <c r="G39" s="334"/>
      <c r="H39" s="5"/>
      <c r="I39" s="5"/>
      <c r="K39" s="21"/>
    </row>
    <row r="40" spans="2:11" ht="15.75" thickBot="1" x14ac:dyDescent="0.3">
      <c r="B40" s="216"/>
      <c r="C40" s="336">
        <v>6</v>
      </c>
      <c r="D40" s="157"/>
      <c r="E40" s="141">
        <f>IFERROR(#REF!/#REF!,0)</f>
        <v>0</v>
      </c>
      <c r="F40" s="141">
        <f>IFERROR(#REF!/#REF!,0)</f>
        <v>0</v>
      </c>
      <c r="G40" s="334"/>
      <c r="H40" s="5"/>
      <c r="I40" s="5"/>
      <c r="K40" s="21"/>
    </row>
    <row r="41" spans="2:11" ht="15.75" thickBot="1" x14ac:dyDescent="0.3">
      <c r="B41" s="46"/>
      <c r="C41" s="67"/>
      <c r="D41" s="158" t="str">
        <f>Formulas!$D$22</f>
        <v>ERROR: LA SUMA DE LA COLUMNA DEBE SER 100%</v>
      </c>
      <c r="E41" s="142">
        <f>+$D35*E35+$D36*E36+$D37*E37+$D38*E38+$D39*E39+$D40*E40</f>
        <v>0</v>
      </c>
      <c r="F41" s="141">
        <f t="shared" ref="F41" si="0">IFERROR(J29/I29,0)</f>
        <v>0</v>
      </c>
      <c r="G41" s="40"/>
      <c r="H41" s="22"/>
      <c r="I41" s="22"/>
      <c r="J41" s="22"/>
      <c r="K41" s="23"/>
    </row>
    <row r="42" spans="2:11" ht="15.75" thickBot="1" x14ac:dyDescent="0.3">
      <c r="B42" s="37"/>
      <c r="C42" s="87"/>
      <c r="D42" s="5"/>
      <c r="E42" s="5"/>
      <c r="F42" s="5"/>
      <c r="G42" s="5"/>
      <c r="H42" s="5"/>
      <c r="I42" s="5"/>
      <c r="J42" s="5"/>
      <c r="K42" s="5"/>
    </row>
    <row r="43" spans="2:11" ht="84.75" thickBot="1" x14ac:dyDescent="0.3">
      <c r="B43" s="51" t="s">
        <v>924</v>
      </c>
      <c r="C43" s="97"/>
      <c r="D43" s="43" t="s">
        <v>1577</v>
      </c>
      <c r="E43" s="5"/>
      <c r="F43" s="5"/>
      <c r="G43" s="5"/>
      <c r="H43" s="5"/>
      <c r="I43" s="5"/>
      <c r="J43" s="5"/>
      <c r="K43" s="5"/>
    </row>
    <row r="44" spans="2:11" ht="60.75" thickBot="1" x14ac:dyDescent="0.3">
      <c r="B44" s="46" t="s">
        <v>926</v>
      </c>
      <c r="C44" s="2"/>
      <c r="D44" s="40" t="s">
        <v>1202</v>
      </c>
      <c r="E44" s="5"/>
      <c r="F44" s="5"/>
      <c r="G44" s="5"/>
      <c r="H44" s="5"/>
      <c r="I44" s="5"/>
      <c r="J44" s="5"/>
      <c r="K44" s="5"/>
    </row>
    <row r="45" spans="2:11" ht="15.75" thickBot="1" x14ac:dyDescent="0.3">
      <c r="B45" s="1"/>
      <c r="C45" s="75"/>
      <c r="D45" s="5"/>
      <c r="E45" s="5"/>
      <c r="F45" s="5"/>
      <c r="G45" s="5"/>
      <c r="H45" s="5"/>
      <c r="I45" s="5"/>
      <c r="J45" s="5"/>
      <c r="K45" s="5"/>
    </row>
    <row r="46" spans="2:11" ht="24" customHeight="1" thickBot="1" x14ac:dyDescent="0.3">
      <c r="B46" s="1426" t="s">
        <v>928</v>
      </c>
      <c r="C46" s="1427"/>
      <c r="D46" s="1427"/>
      <c r="E46" s="1428"/>
      <c r="F46" s="5"/>
      <c r="G46" s="5"/>
      <c r="H46" s="5"/>
      <c r="I46" s="5"/>
      <c r="J46" s="5"/>
      <c r="K46" s="5"/>
    </row>
    <row r="47" spans="2:11" ht="15.75" thickBot="1" x14ac:dyDescent="0.3">
      <c r="B47" s="1423">
        <v>1</v>
      </c>
      <c r="C47" s="93"/>
      <c r="D47" s="47" t="s">
        <v>929</v>
      </c>
      <c r="E47" s="41" t="s">
        <v>2093</v>
      </c>
      <c r="F47" s="5"/>
      <c r="G47" s="5"/>
      <c r="H47" s="5"/>
      <c r="I47" s="5"/>
      <c r="J47" s="5"/>
      <c r="K47" s="5"/>
    </row>
    <row r="48" spans="2:11" ht="15.75" thickBot="1" x14ac:dyDescent="0.3">
      <c r="B48" s="1424"/>
      <c r="C48" s="93"/>
      <c r="D48" s="40" t="s">
        <v>7</v>
      </c>
      <c r="E48" s="41" t="s">
        <v>2098</v>
      </c>
      <c r="F48" s="5"/>
      <c r="G48" s="5"/>
      <c r="H48" s="5"/>
      <c r="I48" s="5"/>
      <c r="J48" s="5"/>
      <c r="K48" s="5"/>
    </row>
    <row r="49" spans="2:11" ht="15.75" thickBot="1" x14ac:dyDescent="0.3">
      <c r="B49" s="1424"/>
      <c r="C49" s="93"/>
      <c r="D49" s="40" t="s">
        <v>930</v>
      </c>
      <c r="E49" s="41" t="s">
        <v>2121</v>
      </c>
      <c r="F49" s="5"/>
      <c r="G49" s="5"/>
      <c r="H49" s="5"/>
      <c r="I49" s="5"/>
      <c r="J49" s="5"/>
      <c r="K49" s="5"/>
    </row>
    <row r="50" spans="2:11" ht="15.75" thickBot="1" x14ac:dyDescent="0.3">
      <c r="B50" s="1424"/>
      <c r="C50" s="93"/>
      <c r="D50" s="40" t="s">
        <v>9</v>
      </c>
      <c r="E50" s="41" t="s">
        <v>2122</v>
      </c>
      <c r="F50" s="5"/>
      <c r="G50" s="5"/>
      <c r="H50" s="5"/>
      <c r="I50" s="5"/>
      <c r="J50" s="5"/>
      <c r="K50" s="5"/>
    </row>
    <row r="51" spans="2:11" ht="15.75" thickBot="1" x14ac:dyDescent="0.3">
      <c r="B51" s="1424"/>
      <c r="C51" s="93"/>
      <c r="D51" s="40" t="s">
        <v>11</v>
      </c>
      <c r="E51" s="41" t="s">
        <v>2123</v>
      </c>
      <c r="F51" s="5"/>
      <c r="G51" s="5"/>
      <c r="H51" s="5"/>
      <c r="I51" s="5"/>
      <c r="J51" s="5"/>
      <c r="K51" s="5"/>
    </row>
    <row r="52" spans="2:11" ht="15.75" thickBot="1" x14ac:dyDescent="0.3">
      <c r="B52" s="1424"/>
      <c r="C52" s="93"/>
      <c r="D52" s="40" t="s">
        <v>13</v>
      </c>
      <c r="E52" s="41">
        <v>6695278</v>
      </c>
      <c r="F52" s="5"/>
      <c r="G52" s="5"/>
      <c r="H52" s="5"/>
      <c r="I52" s="5"/>
      <c r="J52" s="5"/>
      <c r="K52" s="5"/>
    </row>
    <row r="53" spans="2:11" ht="15.75" thickBot="1" x14ac:dyDescent="0.3">
      <c r="B53" s="1425"/>
      <c r="C53" s="2"/>
      <c r="D53" s="40" t="s">
        <v>931</v>
      </c>
      <c r="E53" s="41" t="s">
        <v>2097</v>
      </c>
      <c r="F53" s="5"/>
      <c r="G53" s="5"/>
      <c r="H53" s="5"/>
      <c r="I53" s="5"/>
      <c r="J53" s="5"/>
      <c r="K53" s="5"/>
    </row>
    <row r="54" spans="2:11" ht="15.75" thickBot="1" x14ac:dyDescent="0.3">
      <c r="B54" s="1"/>
      <c r="C54" s="75"/>
      <c r="D54" s="5"/>
      <c r="E54" s="5"/>
      <c r="F54" s="5"/>
      <c r="G54" s="5"/>
      <c r="H54" s="5"/>
      <c r="I54" s="5"/>
      <c r="J54" s="5"/>
      <c r="K54" s="5"/>
    </row>
    <row r="55" spans="2:11" ht="15.75" thickBot="1" x14ac:dyDescent="0.3">
      <c r="B55" s="1426" t="s">
        <v>932</v>
      </c>
      <c r="C55" s="1427"/>
      <c r="D55" s="1427"/>
      <c r="E55" s="1428"/>
      <c r="F55" s="5"/>
      <c r="G55" s="5"/>
      <c r="H55" s="5"/>
      <c r="I55" s="5"/>
      <c r="J55" s="5"/>
      <c r="K55" s="5"/>
    </row>
    <row r="56" spans="2:11" ht="15.75" thickBot="1" x14ac:dyDescent="0.3">
      <c r="B56" s="1423">
        <v>1</v>
      </c>
      <c r="C56" s="93"/>
      <c r="D56" s="47" t="s">
        <v>929</v>
      </c>
      <c r="E56" s="125" t="s">
        <v>933</v>
      </c>
      <c r="F56" s="5"/>
      <c r="G56" s="5"/>
      <c r="H56" s="5"/>
      <c r="I56" s="5"/>
      <c r="J56" s="5"/>
      <c r="K56" s="5"/>
    </row>
    <row r="57" spans="2:11" ht="15.75" thickBot="1" x14ac:dyDescent="0.3">
      <c r="B57" s="1424"/>
      <c r="C57" s="93"/>
      <c r="D57" s="40" t="s">
        <v>7</v>
      </c>
      <c r="E57" s="125" t="s">
        <v>934</v>
      </c>
      <c r="F57" s="5"/>
      <c r="G57" s="5"/>
      <c r="H57" s="5"/>
      <c r="I57" s="5"/>
      <c r="J57" s="5"/>
      <c r="K57" s="5"/>
    </row>
    <row r="58" spans="2:11" ht="15.75" thickBot="1" x14ac:dyDescent="0.3">
      <c r="B58" s="1424"/>
      <c r="C58" s="93"/>
      <c r="D58" s="40" t="s">
        <v>930</v>
      </c>
      <c r="E58" s="166"/>
      <c r="F58" s="5"/>
      <c r="G58" s="5"/>
      <c r="H58" s="5"/>
      <c r="I58" s="5"/>
      <c r="J58" s="5"/>
      <c r="K58" s="5"/>
    </row>
    <row r="59" spans="2:11" ht="15.75" thickBot="1" x14ac:dyDescent="0.3">
      <c r="B59" s="1424"/>
      <c r="C59" s="93"/>
      <c r="D59" s="40" t="s">
        <v>9</v>
      </c>
      <c r="E59" s="166"/>
      <c r="F59" s="5"/>
      <c r="G59" s="5"/>
      <c r="H59" s="5"/>
      <c r="I59" s="5"/>
      <c r="J59" s="5"/>
      <c r="K59" s="5"/>
    </row>
    <row r="60" spans="2:11" ht="15.75" thickBot="1" x14ac:dyDescent="0.3">
      <c r="B60" s="1424"/>
      <c r="C60" s="93"/>
      <c r="D60" s="40" t="s">
        <v>11</v>
      </c>
      <c r="E60" s="166"/>
      <c r="F60" s="5"/>
      <c r="G60" s="5"/>
      <c r="H60" s="5"/>
      <c r="I60" s="5"/>
      <c r="J60" s="5"/>
      <c r="K60" s="5"/>
    </row>
    <row r="61" spans="2:11" ht="15.75" thickBot="1" x14ac:dyDescent="0.3">
      <c r="B61" s="1424"/>
      <c r="C61" s="93"/>
      <c r="D61" s="40" t="s">
        <v>13</v>
      </c>
      <c r="E61" s="166"/>
      <c r="F61" s="5"/>
      <c r="G61" s="5"/>
      <c r="H61" s="5"/>
      <c r="I61" s="5"/>
      <c r="J61" s="5"/>
      <c r="K61" s="5"/>
    </row>
    <row r="62" spans="2:11" ht="15.75" thickBot="1" x14ac:dyDescent="0.3">
      <c r="B62" s="1425"/>
      <c r="C62" s="2"/>
      <c r="D62" s="40" t="s">
        <v>931</v>
      </c>
      <c r="E62" s="166"/>
      <c r="F62" s="5"/>
      <c r="G62" s="5"/>
      <c r="H62" s="5"/>
      <c r="I62" s="5"/>
      <c r="J62" s="5"/>
      <c r="K62" s="5"/>
    </row>
    <row r="63" spans="2:11" ht="15.75" thickBot="1" x14ac:dyDescent="0.3">
      <c r="B63" s="1"/>
      <c r="C63" s="75"/>
      <c r="D63" s="5"/>
      <c r="E63" s="5"/>
      <c r="F63" s="5"/>
      <c r="G63" s="5"/>
      <c r="H63" s="5"/>
      <c r="I63" s="5"/>
      <c r="J63" s="5"/>
      <c r="K63" s="5"/>
    </row>
    <row r="64" spans="2:11" ht="15.75" thickBot="1" x14ac:dyDescent="0.3">
      <c r="B64" s="1426" t="s">
        <v>935</v>
      </c>
      <c r="C64" s="1427"/>
      <c r="D64" s="1427"/>
      <c r="E64" s="1427"/>
      <c r="F64" s="1428"/>
      <c r="G64" s="5"/>
      <c r="H64" s="5"/>
      <c r="I64" s="5"/>
      <c r="J64" s="5"/>
      <c r="K64" s="5"/>
    </row>
    <row r="65" spans="2:11" ht="24.75" thickBot="1" x14ac:dyDescent="0.3">
      <c r="B65" s="46" t="s">
        <v>936</v>
      </c>
      <c r="C65" s="40" t="s">
        <v>937</v>
      </c>
      <c r="D65" s="40" t="s">
        <v>938</v>
      </c>
      <c r="E65" s="40" t="s">
        <v>939</v>
      </c>
      <c r="F65" s="5"/>
      <c r="G65" s="5"/>
      <c r="H65" s="5"/>
      <c r="I65" s="5"/>
      <c r="J65" s="5"/>
    </row>
    <row r="66" spans="2:11" ht="84.75" thickBot="1" x14ac:dyDescent="0.3">
      <c r="B66" s="48">
        <v>42401</v>
      </c>
      <c r="C66" s="40">
        <v>0.01</v>
      </c>
      <c r="D66" s="49" t="s">
        <v>1578</v>
      </c>
      <c r="E66" s="40"/>
      <c r="F66" s="5"/>
      <c r="G66" s="5"/>
      <c r="H66" s="5"/>
      <c r="I66" s="5"/>
      <c r="J66" s="5"/>
    </row>
    <row r="67" spans="2:11" ht="15.75" thickBot="1" x14ac:dyDescent="0.3">
      <c r="B67" s="3"/>
      <c r="C67" s="94"/>
      <c r="D67" s="5"/>
      <c r="E67" s="5"/>
      <c r="F67" s="5"/>
      <c r="G67" s="5"/>
      <c r="H67" s="5"/>
      <c r="I67" s="5"/>
      <c r="J67" s="5"/>
      <c r="K67" s="5"/>
    </row>
    <row r="68" spans="2:11" x14ac:dyDescent="0.25">
      <c r="B68" s="128" t="s">
        <v>846</v>
      </c>
      <c r="C68" s="95"/>
      <c r="D68" s="5"/>
      <c r="E68" s="5"/>
      <c r="F68" s="5"/>
      <c r="G68" s="5"/>
      <c r="H68" s="5"/>
      <c r="I68" s="5"/>
      <c r="J68" s="5"/>
      <c r="K68" s="5"/>
    </row>
    <row r="69" spans="2:11" x14ac:dyDescent="0.25">
      <c r="B69" s="1570"/>
      <c r="C69" s="1571"/>
      <c r="D69" s="1571"/>
      <c r="E69" s="1571"/>
      <c r="F69" s="1572"/>
      <c r="G69" s="5"/>
      <c r="H69" s="5"/>
      <c r="I69" s="5"/>
      <c r="J69" s="5"/>
      <c r="K69" s="5"/>
    </row>
    <row r="70" spans="2:11" x14ac:dyDescent="0.25">
      <c r="B70" s="1573"/>
      <c r="C70" s="1574"/>
      <c r="D70" s="1574"/>
      <c r="E70" s="1574"/>
      <c r="F70" s="1575"/>
      <c r="G70" s="5"/>
      <c r="H70" s="5"/>
      <c r="I70" s="5"/>
      <c r="J70" s="5"/>
      <c r="K70" s="5"/>
    </row>
    <row r="71" spans="2:11" x14ac:dyDescent="0.25">
      <c r="B71" s="1"/>
      <c r="C71" s="75"/>
      <c r="D71" s="5"/>
      <c r="E71" s="5"/>
      <c r="F71" s="5"/>
      <c r="G71" s="5"/>
      <c r="H71" s="5"/>
      <c r="I71" s="5"/>
      <c r="J71" s="5"/>
      <c r="K71" s="5"/>
    </row>
    <row r="72" spans="2:11" ht="15.75" thickBot="1" x14ac:dyDescent="0.3">
      <c r="B72" s="5"/>
      <c r="D72" s="5"/>
      <c r="E72" s="5"/>
      <c r="F72" s="5"/>
      <c r="G72" s="5"/>
      <c r="H72" s="5"/>
      <c r="I72" s="5"/>
      <c r="J72" s="5"/>
      <c r="K72" s="5"/>
    </row>
    <row r="73" spans="2:11" ht="24.75" thickBot="1" x14ac:dyDescent="0.3">
      <c r="B73" s="50" t="s">
        <v>941</v>
      </c>
      <c r="C73" s="96"/>
      <c r="D73" s="5"/>
      <c r="E73" s="5"/>
      <c r="F73" s="5"/>
      <c r="G73" s="5"/>
      <c r="H73" s="5"/>
      <c r="I73" s="5"/>
      <c r="J73" s="5"/>
      <c r="K73" s="5"/>
    </row>
    <row r="74" spans="2:11" ht="15.75" thickBot="1" x14ac:dyDescent="0.3">
      <c r="B74" s="37"/>
      <c r="C74" s="87"/>
      <c r="D74" s="5"/>
      <c r="E74" s="5"/>
      <c r="F74" s="5"/>
      <c r="G74" s="5"/>
      <c r="H74" s="5"/>
      <c r="I74" s="5"/>
      <c r="J74" s="5"/>
      <c r="K74" s="5"/>
    </row>
    <row r="75" spans="2:11" ht="84.75" thickBot="1" x14ac:dyDescent="0.3">
      <c r="B75" s="51" t="s">
        <v>942</v>
      </c>
      <c r="C75" s="97"/>
      <c r="D75" s="43" t="s">
        <v>1579</v>
      </c>
      <c r="E75" s="5"/>
      <c r="F75" s="5"/>
      <c r="G75" s="5"/>
      <c r="H75" s="5"/>
      <c r="I75" s="5"/>
      <c r="J75" s="5"/>
      <c r="K75" s="5"/>
    </row>
    <row r="76" spans="2:11" x14ac:dyDescent="0.25">
      <c r="B76" s="1423" t="s">
        <v>944</v>
      </c>
      <c r="C76" s="93"/>
      <c r="D76" s="52" t="s">
        <v>945</v>
      </c>
      <c r="E76" s="5"/>
      <c r="F76" s="5"/>
      <c r="G76" s="5"/>
      <c r="H76" s="5"/>
      <c r="I76" s="5"/>
      <c r="J76" s="5"/>
      <c r="K76" s="5"/>
    </row>
    <row r="77" spans="2:11" ht="120" x14ac:dyDescent="0.25">
      <c r="B77" s="1424"/>
      <c r="C77" s="93"/>
      <c r="D77" s="45" t="s">
        <v>1580</v>
      </c>
      <c r="E77" s="5"/>
      <c r="F77" s="5"/>
      <c r="G77" s="5"/>
      <c r="H77" s="5"/>
      <c r="I77" s="5"/>
      <c r="J77" s="5"/>
      <c r="K77" s="5"/>
    </row>
    <row r="78" spans="2:11" x14ac:dyDescent="0.25">
      <c r="B78" s="1424"/>
      <c r="C78" s="93"/>
      <c r="D78" s="52" t="s">
        <v>948</v>
      </c>
      <c r="E78" s="5"/>
      <c r="F78" s="5"/>
      <c r="G78" s="5"/>
      <c r="H78" s="5"/>
      <c r="I78" s="5"/>
      <c r="J78" s="5"/>
      <c r="K78" s="5"/>
    </row>
    <row r="79" spans="2:11" x14ac:dyDescent="0.25">
      <c r="B79" s="1424"/>
      <c r="C79" s="93"/>
      <c r="D79" s="45" t="s">
        <v>1581</v>
      </c>
      <c r="E79" s="5"/>
      <c r="F79" s="5"/>
      <c r="G79" s="5"/>
      <c r="H79" s="5"/>
      <c r="I79" s="5"/>
      <c r="J79" s="5"/>
      <c r="K79" s="5"/>
    </row>
    <row r="80" spans="2:11" ht="24" x14ac:dyDescent="0.25">
      <c r="B80" s="1424"/>
      <c r="C80" s="93"/>
      <c r="D80" s="45" t="s">
        <v>1582</v>
      </c>
      <c r="E80" s="5"/>
      <c r="F80" s="5"/>
      <c r="G80" s="5"/>
      <c r="H80" s="5"/>
      <c r="I80" s="5"/>
      <c r="J80" s="5"/>
      <c r="K80" s="5"/>
    </row>
    <row r="81" spans="2:11" x14ac:dyDescent="0.25">
      <c r="B81" s="1424"/>
      <c r="C81" s="93"/>
      <c r="D81" s="52" t="s">
        <v>1172</v>
      </c>
      <c r="E81" s="5"/>
      <c r="F81" s="5"/>
      <c r="G81" s="5"/>
      <c r="H81" s="5"/>
      <c r="I81" s="5"/>
      <c r="J81" s="5"/>
      <c r="K81" s="5"/>
    </row>
    <row r="82" spans="2:11" ht="24" x14ac:dyDescent="0.25">
      <c r="B82" s="1424"/>
      <c r="C82" s="93"/>
      <c r="D82" s="45" t="s">
        <v>1583</v>
      </c>
      <c r="E82" s="5"/>
      <c r="F82" s="5"/>
      <c r="G82" s="5"/>
      <c r="H82" s="5"/>
      <c r="I82" s="5"/>
      <c r="J82" s="5"/>
      <c r="K82" s="5"/>
    </row>
    <row r="83" spans="2:11" ht="24.75" thickBot="1" x14ac:dyDescent="0.3">
      <c r="B83" s="1425"/>
      <c r="C83" s="2"/>
      <c r="D83" s="40" t="s">
        <v>1584</v>
      </c>
      <c r="E83" s="5"/>
      <c r="F83" s="5"/>
      <c r="G83" s="5"/>
      <c r="H83" s="5"/>
      <c r="I83" s="5"/>
      <c r="J83" s="5"/>
      <c r="K83" s="5"/>
    </row>
    <row r="84" spans="2:11" ht="24.75" thickBot="1" x14ac:dyDescent="0.3">
      <c r="B84" s="46" t="s">
        <v>957</v>
      </c>
      <c r="C84" s="2"/>
      <c r="D84" s="40"/>
      <c r="E84" s="5"/>
      <c r="F84" s="5"/>
      <c r="G84" s="5"/>
      <c r="H84" s="5"/>
      <c r="I84" s="5"/>
      <c r="J84" s="5"/>
      <c r="K84" s="5"/>
    </row>
    <row r="85" spans="2:11" ht="108" x14ac:dyDescent="0.25">
      <c r="B85" s="1423" t="s">
        <v>958</v>
      </c>
      <c r="C85" s="93"/>
      <c r="D85" s="45" t="s">
        <v>1585</v>
      </c>
      <c r="E85" s="5"/>
      <c r="F85" s="5"/>
      <c r="G85" s="5"/>
      <c r="H85" s="5"/>
      <c r="I85" s="5"/>
      <c r="J85" s="5"/>
      <c r="K85" s="5"/>
    </row>
    <row r="86" spans="2:11" x14ac:dyDescent="0.25">
      <c r="B86" s="1424"/>
      <c r="C86" s="93"/>
      <c r="D86" s="45" t="s">
        <v>1586</v>
      </c>
      <c r="E86" s="5"/>
      <c r="F86" s="5"/>
      <c r="G86" s="5"/>
      <c r="H86" s="5"/>
      <c r="I86" s="5"/>
      <c r="J86" s="5"/>
      <c r="K86" s="5"/>
    </row>
    <row r="87" spans="2:11" ht="108" x14ac:dyDescent="0.25">
      <c r="B87" s="1424"/>
      <c r="C87" s="93"/>
      <c r="D87" s="45" t="s">
        <v>1587</v>
      </c>
      <c r="E87" s="5"/>
      <c r="F87" s="5"/>
      <c r="G87" s="5"/>
      <c r="H87" s="5"/>
      <c r="I87" s="5"/>
      <c r="J87" s="5"/>
      <c r="K87" s="5"/>
    </row>
    <row r="88" spans="2:11" ht="108" x14ac:dyDescent="0.25">
      <c r="B88" s="1424"/>
      <c r="C88" s="93"/>
      <c r="D88" s="45" t="s">
        <v>1588</v>
      </c>
      <c r="E88" s="5"/>
      <c r="F88" s="5"/>
      <c r="G88" s="5"/>
      <c r="H88" s="5"/>
      <c r="I88" s="5"/>
      <c r="J88" s="5"/>
      <c r="K88" s="5"/>
    </row>
    <row r="89" spans="2:11" ht="108" x14ac:dyDescent="0.25">
      <c r="B89" s="1424"/>
      <c r="C89" s="93"/>
      <c r="D89" s="45" t="s">
        <v>1589</v>
      </c>
      <c r="E89" s="5"/>
      <c r="F89" s="5"/>
      <c r="G89" s="5"/>
      <c r="H89" s="5"/>
      <c r="I89" s="5"/>
      <c r="J89" s="5"/>
      <c r="K89" s="5"/>
    </row>
    <row r="90" spans="2:11" ht="84" x14ac:dyDescent="0.25">
      <c r="B90" s="1424"/>
      <c r="C90" s="93"/>
      <c r="D90" s="45" t="s">
        <v>1590</v>
      </c>
      <c r="E90" s="5"/>
      <c r="F90" s="5"/>
      <c r="G90" s="5"/>
      <c r="H90" s="5"/>
      <c r="I90" s="5"/>
      <c r="J90" s="5"/>
      <c r="K90" s="5"/>
    </row>
    <row r="91" spans="2:11" ht="84" x14ac:dyDescent="0.25">
      <c r="B91" s="1424"/>
      <c r="C91" s="93"/>
      <c r="D91" s="45" t="s">
        <v>1591</v>
      </c>
      <c r="E91" s="5"/>
      <c r="F91" s="5"/>
      <c r="G91" s="5"/>
      <c r="H91" s="5"/>
      <c r="I91" s="5"/>
      <c r="J91" s="5"/>
      <c r="K91" s="5"/>
    </row>
    <row r="92" spans="2:11" ht="216" x14ac:dyDescent="0.25">
      <c r="B92" s="1424"/>
      <c r="C92" s="93"/>
      <c r="D92" s="45" t="s">
        <v>1592</v>
      </c>
      <c r="E92" s="5"/>
      <c r="F92" s="5"/>
      <c r="G92" s="5"/>
      <c r="H92" s="5"/>
      <c r="I92" s="5"/>
      <c r="J92" s="5"/>
      <c r="K92" s="5"/>
    </row>
    <row r="93" spans="2:11" ht="168" x14ac:dyDescent="0.25">
      <c r="B93" s="1424"/>
      <c r="C93" s="93"/>
      <c r="D93" s="45" t="s">
        <v>1593</v>
      </c>
      <c r="E93" s="5"/>
      <c r="F93" s="5"/>
      <c r="G93" s="5"/>
      <c r="H93" s="5"/>
      <c r="I93" s="5"/>
      <c r="J93" s="5"/>
      <c r="K93" s="5"/>
    </row>
    <row r="94" spans="2:11" ht="24" x14ac:dyDescent="0.25">
      <c r="B94" s="1424"/>
      <c r="C94" s="93"/>
      <c r="D94" s="45" t="s">
        <v>1594</v>
      </c>
      <c r="E94" s="5"/>
      <c r="F94" s="5"/>
      <c r="G94" s="5"/>
      <c r="H94" s="5"/>
      <c r="I94" s="5"/>
      <c r="J94" s="5"/>
      <c r="K94" s="5"/>
    </row>
    <row r="95" spans="2:11" ht="24" x14ac:dyDescent="0.25">
      <c r="B95" s="1424"/>
      <c r="C95" s="93"/>
      <c r="D95" s="25" t="s">
        <v>1595</v>
      </c>
      <c r="E95" s="5"/>
      <c r="F95" s="5"/>
      <c r="G95" s="5"/>
      <c r="H95" s="5"/>
      <c r="I95" s="5"/>
      <c r="J95" s="5"/>
      <c r="K95" s="5"/>
    </row>
    <row r="96" spans="2:11" ht="36" x14ac:dyDescent="0.25">
      <c r="B96" s="1424"/>
      <c r="C96" s="93"/>
      <c r="D96" s="25" t="s">
        <v>1596</v>
      </c>
      <c r="E96" s="5"/>
      <c r="F96" s="5"/>
      <c r="G96" s="5"/>
      <c r="H96" s="5"/>
      <c r="I96" s="5"/>
      <c r="J96" s="5"/>
      <c r="K96" s="5"/>
    </row>
    <row r="97" spans="2:11" ht="48" x14ac:dyDescent="0.25">
      <c r="B97" s="1424"/>
      <c r="C97" s="93"/>
      <c r="D97" s="25" t="s">
        <v>1597</v>
      </c>
      <c r="E97" s="5"/>
      <c r="F97" s="5"/>
      <c r="G97" s="5"/>
      <c r="H97" s="5"/>
      <c r="I97" s="5"/>
      <c r="J97" s="5"/>
      <c r="K97" s="5"/>
    </row>
    <row r="98" spans="2:11" ht="144" x14ac:dyDescent="0.25">
      <c r="B98" s="1424"/>
      <c r="C98" s="93"/>
      <c r="D98" s="45" t="s">
        <v>1598</v>
      </c>
      <c r="E98" s="5"/>
      <c r="F98" s="5"/>
      <c r="G98" s="5"/>
      <c r="H98" s="5"/>
      <c r="I98" s="5"/>
      <c r="J98" s="5"/>
      <c r="K98" s="5"/>
    </row>
    <row r="99" spans="2:11" ht="60" x14ac:dyDescent="0.25">
      <c r="B99" s="1424"/>
      <c r="C99" s="93"/>
      <c r="D99" s="45" t="s">
        <v>1599</v>
      </c>
      <c r="E99" s="5"/>
      <c r="F99" s="5"/>
      <c r="G99" s="5"/>
      <c r="H99" s="5"/>
      <c r="I99" s="5"/>
      <c r="J99" s="5"/>
      <c r="K99" s="5"/>
    </row>
    <row r="100" spans="2:11" ht="36" x14ac:dyDescent="0.25">
      <c r="B100" s="1424"/>
      <c r="C100" s="93"/>
      <c r="D100" s="45" t="s">
        <v>1600</v>
      </c>
      <c r="E100" s="5"/>
      <c r="F100" s="5"/>
      <c r="G100" s="5"/>
      <c r="H100" s="5"/>
      <c r="I100" s="5"/>
      <c r="J100" s="5"/>
      <c r="K100" s="5"/>
    </row>
    <row r="101" spans="2:11" ht="60" x14ac:dyDescent="0.25">
      <c r="B101" s="1424"/>
      <c r="C101" s="93"/>
      <c r="D101" s="60" t="s">
        <v>1601</v>
      </c>
      <c r="E101" s="5"/>
      <c r="F101" s="5"/>
      <c r="G101" s="5"/>
      <c r="H101" s="5"/>
      <c r="I101" s="5"/>
      <c r="J101" s="5"/>
      <c r="K101" s="5"/>
    </row>
    <row r="102" spans="2:11" ht="24" x14ac:dyDescent="0.25">
      <c r="B102" s="1424"/>
      <c r="C102" s="93"/>
      <c r="D102" s="60" t="s">
        <v>1602</v>
      </c>
      <c r="E102" s="5"/>
      <c r="F102" s="5"/>
      <c r="G102" s="5"/>
      <c r="H102" s="5"/>
      <c r="I102" s="5"/>
      <c r="J102" s="5"/>
      <c r="K102" s="5"/>
    </row>
    <row r="103" spans="2:11" ht="24" x14ac:dyDescent="0.25">
      <c r="B103" s="1424"/>
      <c r="C103" s="93"/>
      <c r="D103" s="60" t="s">
        <v>1603</v>
      </c>
      <c r="E103" s="5"/>
      <c r="F103" s="5"/>
      <c r="G103" s="5"/>
      <c r="H103" s="5"/>
      <c r="I103" s="5"/>
      <c r="J103" s="5"/>
      <c r="K103" s="5"/>
    </row>
    <row r="104" spans="2:11" ht="36.75" thickBot="1" x14ac:dyDescent="0.3">
      <c r="B104" s="1425"/>
      <c r="C104" s="2"/>
      <c r="D104" s="61" t="s">
        <v>1604</v>
      </c>
      <c r="E104" s="5"/>
      <c r="F104" s="5"/>
      <c r="G104" s="5"/>
      <c r="H104" s="5"/>
      <c r="I104" s="5"/>
      <c r="J104" s="5"/>
      <c r="K104" s="5"/>
    </row>
    <row r="105" spans="2:11" ht="36" x14ac:dyDescent="0.25">
      <c r="B105" s="1423" t="s">
        <v>975</v>
      </c>
      <c r="C105" s="93"/>
      <c r="D105" s="52" t="s">
        <v>1605</v>
      </c>
      <c r="E105" s="5"/>
      <c r="F105" s="5"/>
      <c r="G105" s="5"/>
      <c r="H105" s="5"/>
      <c r="I105" s="5"/>
      <c r="J105" s="5"/>
      <c r="K105" s="5"/>
    </row>
    <row r="106" spans="2:11" x14ac:dyDescent="0.25">
      <c r="B106" s="1424"/>
      <c r="C106" s="93"/>
      <c r="D106" s="16"/>
      <c r="E106" s="5"/>
      <c r="F106" s="5"/>
      <c r="G106" s="5"/>
      <c r="H106" s="5"/>
      <c r="I106" s="5"/>
      <c r="J106" s="5"/>
      <c r="K106" s="5"/>
    </row>
    <row r="107" spans="2:11" x14ac:dyDescent="0.25">
      <c r="B107" s="1424"/>
      <c r="C107" s="93"/>
      <c r="D107" s="45" t="s">
        <v>976</v>
      </c>
      <c r="E107" s="5"/>
      <c r="F107" s="5"/>
      <c r="G107" s="5"/>
      <c r="H107" s="5"/>
      <c r="I107" s="5"/>
      <c r="J107" s="5"/>
      <c r="K107" s="5"/>
    </row>
    <row r="108" spans="2:11" ht="49.5" x14ac:dyDescent="0.25">
      <c r="B108" s="1424"/>
      <c r="C108" s="93"/>
      <c r="D108" s="45" t="s">
        <v>1606</v>
      </c>
      <c r="E108" s="5"/>
      <c r="F108" s="5"/>
      <c r="G108" s="5"/>
      <c r="H108" s="5"/>
      <c r="I108" s="5"/>
      <c r="J108" s="5"/>
      <c r="K108" s="5"/>
    </row>
    <row r="109" spans="2:11" ht="37.5" x14ac:dyDescent="0.25">
      <c r="B109" s="1424"/>
      <c r="C109" s="93"/>
      <c r="D109" s="45" t="s">
        <v>1607</v>
      </c>
      <c r="E109" s="5"/>
      <c r="F109" s="5"/>
      <c r="G109" s="5"/>
      <c r="H109" s="5"/>
      <c r="I109" s="5"/>
      <c r="J109" s="5"/>
      <c r="K109" s="5"/>
    </row>
    <row r="110" spans="2:11" ht="49.5" x14ac:dyDescent="0.25">
      <c r="B110" s="1424"/>
      <c r="C110" s="93"/>
      <c r="D110" s="45" t="s">
        <v>1608</v>
      </c>
      <c r="E110" s="5"/>
      <c r="F110" s="5"/>
      <c r="G110" s="5"/>
      <c r="H110" s="5"/>
      <c r="I110" s="5"/>
      <c r="J110" s="5"/>
      <c r="K110" s="5"/>
    </row>
    <row r="111" spans="2:11" x14ac:dyDescent="0.25">
      <c r="B111" s="1424"/>
      <c r="C111" s="93"/>
      <c r="D111" s="52" t="s">
        <v>1116</v>
      </c>
      <c r="E111" s="5"/>
      <c r="F111" s="5"/>
      <c r="G111" s="5"/>
      <c r="H111" s="5"/>
      <c r="I111" s="5"/>
      <c r="J111" s="5"/>
      <c r="K111" s="5"/>
    </row>
    <row r="112" spans="2:11" ht="48" x14ac:dyDescent="0.25">
      <c r="B112" s="1424"/>
      <c r="C112" s="93"/>
      <c r="D112" s="52" t="s">
        <v>1567</v>
      </c>
      <c r="E112" s="5"/>
      <c r="F112" s="5"/>
      <c r="G112" s="5"/>
      <c r="H112" s="5"/>
      <c r="I112" s="5"/>
      <c r="J112" s="5"/>
      <c r="K112" s="5"/>
    </row>
    <row r="113" spans="2:11" x14ac:dyDescent="0.25">
      <c r="B113" s="1424"/>
      <c r="C113" s="93"/>
      <c r="D113" s="16"/>
      <c r="E113" s="5"/>
      <c r="F113" s="5"/>
      <c r="G113" s="5"/>
      <c r="H113" s="5"/>
      <c r="I113" s="5"/>
      <c r="J113" s="5"/>
      <c r="K113" s="5"/>
    </row>
    <row r="114" spans="2:11" x14ac:dyDescent="0.25">
      <c r="B114" s="1424"/>
      <c r="C114" s="93"/>
      <c r="D114" s="45" t="s">
        <v>976</v>
      </c>
      <c r="E114" s="5"/>
      <c r="F114" s="5"/>
      <c r="G114" s="5"/>
      <c r="H114" s="5"/>
      <c r="I114" s="5"/>
      <c r="J114" s="5"/>
      <c r="K114" s="5"/>
    </row>
    <row r="115" spans="2:11" ht="61.5" x14ac:dyDescent="0.25">
      <c r="B115" s="1424"/>
      <c r="C115" s="93"/>
      <c r="D115" s="45" t="s">
        <v>1609</v>
      </c>
      <c r="E115" s="5"/>
      <c r="F115" s="5"/>
      <c r="G115" s="5"/>
      <c r="H115" s="5"/>
      <c r="I115" s="5"/>
      <c r="J115" s="5"/>
      <c r="K115" s="5"/>
    </row>
    <row r="116" spans="2:11" ht="61.5" x14ac:dyDescent="0.25">
      <c r="B116" s="1424"/>
      <c r="C116" s="93"/>
      <c r="D116" s="45" t="s">
        <v>1610</v>
      </c>
      <c r="E116" s="5"/>
      <c r="F116" s="5"/>
      <c r="G116" s="5"/>
      <c r="H116" s="5"/>
      <c r="I116" s="5"/>
      <c r="J116" s="5"/>
      <c r="K116" s="5"/>
    </row>
    <row r="117" spans="2:11" ht="62.25" thickBot="1" x14ac:dyDescent="0.3">
      <c r="B117" s="1425"/>
      <c r="C117" s="2"/>
      <c r="D117" s="40" t="s">
        <v>1611</v>
      </c>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sheetData>
  <sheetProtection insertRows="0"/>
  <mergeCells count="40">
    <mergeCell ref="A1:P1"/>
    <mergeCell ref="A2:P2"/>
    <mergeCell ref="A3:P3"/>
    <mergeCell ref="A4:D4"/>
    <mergeCell ref="A5:P5"/>
    <mergeCell ref="B15:B20"/>
    <mergeCell ref="B69:F70"/>
    <mergeCell ref="B64:F64"/>
    <mergeCell ref="D22:K22"/>
    <mergeCell ref="D23:K23"/>
    <mergeCell ref="D30:K30"/>
    <mergeCell ref="D31:K31"/>
    <mergeCell ref="B46:E46"/>
    <mergeCell ref="B47:B53"/>
    <mergeCell ref="F24:F26"/>
    <mergeCell ref="G24:J24"/>
    <mergeCell ref="H25:H26"/>
    <mergeCell ref="I25:I26"/>
    <mergeCell ref="J25:J26"/>
    <mergeCell ref="C32:C34"/>
    <mergeCell ref="D15:K15"/>
    <mergeCell ref="B85:B104"/>
    <mergeCell ref="B105:B117"/>
    <mergeCell ref="C24:C26"/>
    <mergeCell ref="D24:D26"/>
    <mergeCell ref="E24:E26"/>
    <mergeCell ref="B76:B83"/>
    <mergeCell ref="B55:E55"/>
    <mergeCell ref="B56:B62"/>
    <mergeCell ref="D16:K16"/>
    <mergeCell ref="D21:K21"/>
    <mergeCell ref="D32:D34"/>
    <mergeCell ref="E32:F32"/>
    <mergeCell ref="E33:E34"/>
    <mergeCell ref="G33:G34"/>
    <mergeCell ref="B10:D10"/>
    <mergeCell ref="F10:S10"/>
    <mergeCell ref="F11:S11"/>
    <mergeCell ref="E12:R12"/>
    <mergeCell ref="E13:R13"/>
  </mergeCells>
  <conditionalFormatting sqref="D41">
    <cfRule type="containsText" dxfId="57" priority="5" operator="containsText" text="ERROR">
      <formula>NOT(ISERROR(SEARCH("ERROR",D41)))</formula>
    </cfRule>
  </conditionalFormatting>
  <conditionalFormatting sqref="F10">
    <cfRule type="notContainsBlanks" dxfId="56" priority="4">
      <formula>LEN(TRIM(F10))&gt;0</formula>
    </cfRule>
  </conditionalFormatting>
  <conditionalFormatting sqref="F11:S11">
    <cfRule type="expression" dxfId="55" priority="2">
      <formula>E11="NO SE REPORTA"</formula>
    </cfRule>
    <cfRule type="expression" dxfId="54" priority="3">
      <formula>E10="NO APLICA"</formula>
    </cfRule>
  </conditionalFormatting>
  <conditionalFormatting sqref="E12:R12">
    <cfRule type="expression" dxfId="5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formula1>0</formula1>
    </dataValidation>
    <dataValidation type="whole" operator="greaterThanOrEqual" allowBlank="1" showInputMessage="1" showErrorMessage="1" errorTitle="ERROR" error="Valor en PESOS (sin centavos)" sqref="G27:J28">
      <formula1>0</formula1>
    </dataValidation>
    <dataValidation type="decimal" allowBlank="1" showInputMessage="1" showErrorMessage="1" errorTitle="ERROR" error="Escriba un valor entre 0% y 100%" sqref="D35:D40">
      <formula1>0</formula1>
      <formula2>1</formula2>
    </dataValidation>
    <dataValidation allowBlank="1" showInputMessage="1" showErrorMessage="1" sqref="D41 I18:I19 G29:J29 E35:F41"/>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dimension ref="A1:U170"/>
  <sheetViews>
    <sheetView showGridLines="0" topLeftCell="B1" zoomScale="98" zoomScaleNormal="98" workbookViewId="0">
      <selection activeCell="K35" sqref="K35"/>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24.85546875" customWidth="1"/>
    <col min="6" max="6" width="13.85546875" customWidth="1"/>
    <col min="7" max="7" width="14" customWidth="1"/>
    <col min="8" max="8" width="13.140625" customWidth="1"/>
    <col min="9" max="9" width="14"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108</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2022</v>
      </c>
      <c r="D8" s="214">
        <f>IF(E10="NO APLICA","NO APLICA",IF(E11="NO SE REPORTA","SIN INFORMACION",+I26))</f>
        <v>1</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 customHeight="1" thickTop="1" x14ac:dyDescent="0.25">
      <c r="B15" s="1478" t="s">
        <v>888</v>
      </c>
      <c r="C15" s="88"/>
      <c r="D15" s="1408" t="s">
        <v>1189</v>
      </c>
      <c r="E15" s="1409"/>
      <c r="F15" s="1409"/>
      <c r="G15" s="1409"/>
      <c r="H15" s="1409"/>
      <c r="I15" s="1409"/>
      <c r="J15" s="1409"/>
      <c r="K15" s="1409"/>
      <c r="L15" s="1516"/>
    </row>
    <row r="16" spans="1:21" ht="15.75" thickBot="1" x14ac:dyDescent="0.3">
      <c r="B16" s="1403"/>
      <c r="C16" s="91"/>
      <c r="D16" s="1562" t="s">
        <v>1612</v>
      </c>
      <c r="E16" s="1563"/>
      <c r="F16" s="1563"/>
      <c r="G16" s="1563"/>
      <c r="H16" s="1563"/>
      <c r="I16" s="1563"/>
      <c r="J16" s="1563"/>
      <c r="K16" s="1563"/>
      <c r="L16" s="1591"/>
    </row>
    <row r="17" spans="2:12" ht="15.75" thickBot="1" x14ac:dyDescent="0.3">
      <c r="B17" s="1403"/>
      <c r="C17" s="89" t="s">
        <v>842</v>
      </c>
      <c r="D17" s="38" t="s">
        <v>1099</v>
      </c>
      <c r="E17" s="38" t="s">
        <v>909</v>
      </c>
      <c r="F17" s="38" t="s">
        <v>910</v>
      </c>
      <c r="G17" s="38" t="s">
        <v>911</v>
      </c>
      <c r="H17" s="38" t="s">
        <v>912</v>
      </c>
      <c r="I17" s="38" t="s">
        <v>1497</v>
      </c>
      <c r="J17" s="5"/>
      <c r="L17" s="21"/>
    </row>
    <row r="18" spans="2:12" ht="24.75" thickBot="1" x14ac:dyDescent="0.3">
      <c r="B18" s="1403"/>
      <c r="C18" s="90" t="s">
        <v>1017</v>
      </c>
      <c r="D18" s="40" t="s">
        <v>1613</v>
      </c>
      <c r="E18" s="6">
        <v>0</v>
      </c>
      <c r="F18" s="6">
        <v>1</v>
      </c>
      <c r="G18" s="6">
        <v>3</v>
      </c>
      <c r="H18" s="6"/>
      <c r="I18" s="144">
        <f>SUM(E18:H18)</f>
        <v>4</v>
      </c>
      <c r="J18" s="5"/>
      <c r="L18" s="21"/>
    </row>
    <row r="19" spans="2:12" x14ac:dyDescent="0.25">
      <c r="B19" s="1403"/>
      <c r="C19" s="91"/>
      <c r="D19" s="1414"/>
      <c r="E19" s="1415"/>
      <c r="F19" s="1415"/>
      <c r="G19" s="1415"/>
      <c r="H19" s="1415"/>
      <c r="I19" s="1415"/>
      <c r="J19" s="1415"/>
      <c r="K19" s="1415"/>
      <c r="L19" s="1517"/>
    </row>
    <row r="20" spans="2:12" ht="15.75" thickBot="1" x14ac:dyDescent="0.3">
      <c r="B20" s="216"/>
      <c r="C20" s="91"/>
      <c r="D20" s="1414" t="s">
        <v>1614</v>
      </c>
      <c r="E20" s="1415"/>
      <c r="F20" s="1415"/>
      <c r="G20" s="1415"/>
      <c r="H20" s="1415"/>
      <c r="I20" s="1415"/>
      <c r="J20" s="1415"/>
      <c r="K20" s="1415"/>
      <c r="L20" s="1517"/>
    </row>
    <row r="21" spans="2:12" ht="15.75" thickBot="1" x14ac:dyDescent="0.3">
      <c r="B21" s="216"/>
      <c r="C21" s="1485" t="s">
        <v>842</v>
      </c>
      <c r="D21" s="1423" t="s">
        <v>1118</v>
      </c>
      <c r="E21" s="1423" t="s">
        <v>1500</v>
      </c>
      <c r="F21" s="1588" t="s">
        <v>1501</v>
      </c>
      <c r="G21" s="1589"/>
      <c r="H21" s="1589"/>
      <c r="I21" s="1589"/>
      <c r="J21" s="1590"/>
      <c r="L21" s="21"/>
    </row>
    <row r="22" spans="2:12" ht="36.75" thickBot="1" x14ac:dyDescent="0.3">
      <c r="B22" s="216"/>
      <c r="C22" s="1486"/>
      <c r="D22" s="1425"/>
      <c r="E22" s="1425"/>
      <c r="F22" s="40" t="s">
        <v>1502</v>
      </c>
      <c r="G22" s="40" t="s">
        <v>1503</v>
      </c>
      <c r="H22" s="40" t="s">
        <v>1504</v>
      </c>
      <c r="I22" s="40" t="s">
        <v>1505</v>
      </c>
      <c r="J22" s="40" t="s">
        <v>846</v>
      </c>
      <c r="L22" s="21"/>
    </row>
    <row r="23" spans="2:12" ht="24.75" thickBot="1" x14ac:dyDescent="0.3">
      <c r="B23" s="216"/>
      <c r="C23" s="127"/>
      <c r="D23" s="1013" t="s">
        <v>1615</v>
      </c>
      <c r="E23" s="1014" t="s">
        <v>1616</v>
      </c>
      <c r="F23" s="1015">
        <v>1</v>
      </c>
      <c r="G23" s="1015">
        <v>1</v>
      </c>
      <c r="H23" s="1015">
        <v>0.2</v>
      </c>
      <c r="I23" s="1016">
        <f t="shared" ref="I23:I25" si="0">+G23*H23</f>
        <v>0.2</v>
      </c>
      <c r="J23" s="30"/>
      <c r="L23" s="21"/>
    </row>
    <row r="24" spans="2:12" ht="24.75" thickBot="1" x14ac:dyDescent="0.3">
      <c r="B24" s="216"/>
      <c r="C24" s="127"/>
      <c r="D24" s="1013" t="s">
        <v>1617</v>
      </c>
      <c r="E24" s="1014" t="s">
        <v>1618</v>
      </c>
      <c r="F24" s="1015">
        <v>1</v>
      </c>
      <c r="G24" s="1015">
        <v>1</v>
      </c>
      <c r="H24" s="1015">
        <v>0.4</v>
      </c>
      <c r="I24" s="1016">
        <f t="shared" si="0"/>
        <v>0.4</v>
      </c>
      <c r="J24" s="30"/>
      <c r="L24" s="21"/>
    </row>
    <row r="25" spans="2:12" ht="24.75" thickBot="1" x14ac:dyDescent="0.3">
      <c r="B25" s="216"/>
      <c r="C25" s="127"/>
      <c r="D25" s="1013" t="s">
        <v>1619</v>
      </c>
      <c r="E25" s="1014" t="s">
        <v>1620</v>
      </c>
      <c r="F25" s="1015">
        <v>1</v>
      </c>
      <c r="G25" s="1015">
        <v>1</v>
      </c>
      <c r="H25" s="1015">
        <v>0.4</v>
      </c>
      <c r="I25" s="1016">
        <f t="shared" si="0"/>
        <v>0.4</v>
      </c>
      <c r="J25" s="30"/>
      <c r="L25" s="21"/>
    </row>
    <row r="26" spans="2:12" ht="15.75" thickBot="1" x14ac:dyDescent="0.3">
      <c r="B26" s="216"/>
      <c r="C26" s="93"/>
      <c r="D26" s="39"/>
      <c r="E26" s="39" t="s">
        <v>1016</v>
      </c>
      <c r="F26" s="39"/>
      <c r="G26" s="39"/>
      <c r="H26" s="195">
        <f>Formulas!$D$23</f>
        <v>1</v>
      </c>
      <c r="I26" s="148">
        <f>Formulas!$E$23</f>
        <v>1</v>
      </c>
      <c r="J26" s="30"/>
      <c r="L26" s="21"/>
    </row>
    <row r="27" spans="2:12" x14ac:dyDescent="0.25">
      <c r="B27" s="216"/>
      <c r="C27" s="91"/>
      <c r="D27" s="1414" t="s">
        <v>1509</v>
      </c>
      <c r="E27" s="1415"/>
      <c r="F27" s="1415"/>
      <c r="G27" s="1415"/>
      <c r="H27" s="1415"/>
      <c r="I27" s="1415"/>
      <c r="J27" s="1415"/>
      <c r="K27" s="1415"/>
      <c r="L27" s="1517"/>
    </row>
    <row r="28" spans="2:12" x14ac:dyDescent="0.25">
      <c r="B28" s="216"/>
      <c r="C28" s="91"/>
      <c r="D28" s="1411" t="s">
        <v>1116</v>
      </c>
      <c r="E28" s="1412"/>
      <c r="F28" s="1412"/>
      <c r="G28" s="1412"/>
      <c r="H28" s="1412"/>
      <c r="I28" s="1412"/>
      <c r="J28" s="1412"/>
      <c r="K28" s="1412"/>
      <c r="L28" s="1518"/>
    </row>
    <row r="29" spans="2:12" ht="15.75" thickBot="1" x14ac:dyDescent="0.3">
      <c r="B29" s="216"/>
      <c r="C29" s="91"/>
      <c r="D29" s="1405" t="s">
        <v>1621</v>
      </c>
      <c r="E29" s="1406"/>
      <c r="F29" s="1406"/>
      <c r="G29" s="1406"/>
      <c r="H29" s="1406"/>
      <c r="I29" s="1406"/>
      <c r="J29" s="1406"/>
      <c r="K29" s="1406"/>
      <c r="L29" s="1592"/>
    </row>
    <row r="30" spans="2:12" ht="15.75" thickBot="1" x14ac:dyDescent="0.3">
      <c r="B30" s="216"/>
      <c r="C30" s="1485" t="s">
        <v>842</v>
      </c>
      <c r="D30" s="1520" t="s">
        <v>1118</v>
      </c>
      <c r="E30" s="1520" t="s">
        <v>1500</v>
      </c>
      <c r="F30" s="1588" t="s">
        <v>1569</v>
      </c>
      <c r="G30" s="1589"/>
      <c r="H30" s="1589"/>
      <c r="I30" s="1589"/>
      <c r="J30" s="1589"/>
      <c r="K30" s="1590"/>
      <c r="L30" s="116"/>
    </row>
    <row r="31" spans="2:12" ht="23.25" thickBot="1" x14ac:dyDescent="0.3">
      <c r="B31" s="216"/>
      <c r="C31" s="1486"/>
      <c r="D31" s="1521"/>
      <c r="E31" s="1521"/>
      <c r="F31" s="64" t="s">
        <v>1622</v>
      </c>
      <c r="G31" s="65" t="s">
        <v>1200</v>
      </c>
      <c r="H31" s="65" t="s">
        <v>1122</v>
      </c>
      <c r="I31" s="65" t="s">
        <v>1123</v>
      </c>
      <c r="J31" s="65" t="s">
        <v>1623</v>
      </c>
      <c r="K31" s="65" t="s">
        <v>1624</v>
      </c>
      <c r="L31" s="11"/>
    </row>
    <row r="32" spans="2:12" ht="24.75" thickBot="1" x14ac:dyDescent="0.3">
      <c r="B32" s="216"/>
      <c r="C32" s="337"/>
      <c r="D32" s="160" t="s">
        <v>1615</v>
      </c>
      <c r="E32" s="334" t="s">
        <v>1616</v>
      </c>
      <c r="F32" s="664">
        <v>0</v>
      </c>
      <c r="G32" s="665">
        <v>0</v>
      </c>
      <c r="H32" s="568"/>
      <c r="I32" s="567"/>
      <c r="J32" s="143">
        <v>0</v>
      </c>
      <c r="K32" s="143">
        <v>0</v>
      </c>
      <c r="L32" s="11"/>
    </row>
    <row r="33" spans="2:12" ht="24.75" thickBot="1" x14ac:dyDescent="0.3">
      <c r="B33" s="216"/>
      <c r="C33" s="269"/>
      <c r="D33" s="160" t="s">
        <v>1617</v>
      </c>
      <c r="E33" s="334" t="s">
        <v>1618</v>
      </c>
      <c r="F33" s="664">
        <v>851000000</v>
      </c>
      <c r="G33" s="665">
        <v>851000000</v>
      </c>
      <c r="H33" s="1017">
        <v>609228154</v>
      </c>
      <c r="I33" s="665">
        <v>609228153</v>
      </c>
      <c r="J33" s="143">
        <f>+H33/G33</f>
        <v>0.71589677320799061</v>
      </c>
      <c r="K33" s="143">
        <f>+I33/H33</f>
        <v>0.99999999835857878</v>
      </c>
      <c r="L33" s="11"/>
    </row>
    <row r="34" spans="2:12" ht="24.75" thickBot="1" x14ac:dyDescent="0.3">
      <c r="B34" s="216"/>
      <c r="C34" s="269"/>
      <c r="D34" s="160" t="s">
        <v>1619</v>
      </c>
      <c r="E34" s="334" t="s">
        <v>1620</v>
      </c>
      <c r="F34" s="664">
        <v>0</v>
      </c>
      <c r="G34" s="665">
        <v>0</v>
      </c>
      <c r="H34" s="568"/>
      <c r="I34" s="567"/>
      <c r="J34" s="143">
        <v>0</v>
      </c>
      <c r="K34" s="143">
        <v>0</v>
      </c>
      <c r="L34" s="11"/>
    </row>
    <row r="35" spans="2:12" ht="15.75" thickBot="1" x14ac:dyDescent="0.3">
      <c r="B35" s="216"/>
      <c r="C35" s="100"/>
      <c r="D35" s="1"/>
      <c r="E35" s="44" t="s">
        <v>1016</v>
      </c>
      <c r="F35" s="1"/>
      <c r="G35" s="135">
        <f>SUM(G32:G34)</f>
        <v>851000000</v>
      </c>
      <c r="H35" s="135">
        <f>SUM(H32:H34)</f>
        <v>609228154</v>
      </c>
      <c r="I35" s="135">
        <f>SUM(I32:I34)</f>
        <v>609228153</v>
      </c>
      <c r="J35" s="143">
        <f t="shared" ref="J35" si="1">+H35/G35</f>
        <v>0.71589677320799061</v>
      </c>
      <c r="K35" s="143">
        <f t="shared" ref="K35" si="2">+I35/H35</f>
        <v>0.99999999835857878</v>
      </c>
      <c r="L35" s="117"/>
    </row>
    <row r="36" spans="2:12" ht="15.75" thickBot="1" x14ac:dyDescent="0.3">
      <c r="B36" s="46"/>
      <c r="C36" s="92"/>
      <c r="D36" s="1438" t="s">
        <v>1509</v>
      </c>
      <c r="E36" s="1439"/>
      <c r="F36" s="1439"/>
      <c r="G36" s="1439"/>
      <c r="H36" s="1439"/>
      <c r="I36" s="1439"/>
      <c r="J36" s="1439"/>
      <c r="K36" s="1439"/>
      <c r="L36" s="1519"/>
    </row>
    <row r="37" spans="2:12" ht="15.75" thickBot="1" x14ac:dyDescent="0.3">
      <c r="B37" s="37"/>
      <c r="C37" s="87"/>
      <c r="D37" s="5"/>
      <c r="E37" s="5"/>
      <c r="F37" s="5"/>
      <c r="G37" s="5"/>
      <c r="H37" s="5"/>
      <c r="I37" s="5"/>
      <c r="J37" s="5"/>
      <c r="K37" s="5"/>
    </row>
    <row r="38" spans="2:12" ht="72.75" thickBot="1" x14ac:dyDescent="0.3">
      <c r="B38" s="51" t="s">
        <v>924</v>
      </c>
      <c r="C38" s="97"/>
      <c r="D38" s="43" t="s">
        <v>1625</v>
      </c>
      <c r="E38" s="5"/>
      <c r="F38" s="5"/>
      <c r="G38" s="5"/>
      <c r="H38" s="5"/>
      <c r="I38" s="5"/>
      <c r="J38" s="5"/>
      <c r="K38" s="5"/>
    </row>
    <row r="39" spans="2:12" ht="60.75" thickBot="1" x14ac:dyDescent="0.3">
      <c r="B39" s="51" t="s">
        <v>926</v>
      </c>
      <c r="C39" s="202"/>
      <c r="D39" s="51" t="s">
        <v>1202</v>
      </c>
      <c r="E39" s="5"/>
      <c r="F39" s="5"/>
      <c r="G39" s="5"/>
      <c r="H39" s="5"/>
      <c r="I39" s="5"/>
      <c r="J39" s="5"/>
      <c r="K39" s="5"/>
    </row>
    <row r="40" spans="2:12" ht="15.75" thickBot="1" x14ac:dyDescent="0.3">
      <c r="B40" s="1"/>
      <c r="C40" s="75"/>
      <c r="D40" s="5"/>
      <c r="E40" s="5"/>
      <c r="F40" s="5"/>
      <c r="G40" s="5"/>
      <c r="H40" s="5"/>
      <c r="I40" s="5"/>
      <c r="J40" s="5"/>
      <c r="K40" s="5"/>
    </row>
    <row r="41" spans="2:12" ht="24" customHeight="1" thickBot="1" x14ac:dyDescent="0.3">
      <c r="B41" s="1426" t="s">
        <v>928</v>
      </c>
      <c r="C41" s="1427"/>
      <c r="D41" s="1427"/>
      <c r="E41" s="1428"/>
      <c r="F41" s="5"/>
      <c r="G41" s="5"/>
      <c r="H41" s="5"/>
      <c r="I41" s="5"/>
      <c r="J41" s="5"/>
      <c r="K41" s="5"/>
    </row>
    <row r="42" spans="2:12" ht="15.75" thickBot="1" x14ac:dyDescent="0.3">
      <c r="B42" s="1423">
        <v>1</v>
      </c>
      <c r="C42" s="93"/>
      <c r="D42" s="47" t="s">
        <v>929</v>
      </c>
      <c r="E42" s="133" t="s">
        <v>2093</v>
      </c>
      <c r="F42" s="5"/>
      <c r="G42" s="5"/>
      <c r="H42" s="5"/>
      <c r="I42" s="5"/>
      <c r="J42" s="5"/>
      <c r="K42" s="5"/>
    </row>
    <row r="43" spans="2:12" ht="15.75" thickBot="1" x14ac:dyDescent="0.3">
      <c r="B43" s="1424"/>
      <c r="C43" s="93"/>
      <c r="D43" s="40" t="s">
        <v>7</v>
      </c>
      <c r="E43" s="133" t="s">
        <v>2098</v>
      </c>
      <c r="F43" s="5"/>
      <c r="G43" s="5"/>
      <c r="H43" s="5"/>
      <c r="I43" s="5"/>
      <c r="J43" s="5"/>
      <c r="K43" s="5"/>
    </row>
    <row r="44" spans="2:12" ht="15.75" thickBot="1" x14ac:dyDescent="0.3">
      <c r="B44" s="1424"/>
      <c r="C44" s="93"/>
      <c r="D44" s="40" t="s">
        <v>930</v>
      </c>
      <c r="E44" s="133" t="s">
        <v>2121</v>
      </c>
      <c r="F44" s="5"/>
      <c r="G44" s="5"/>
      <c r="H44" s="5"/>
      <c r="I44" s="5"/>
      <c r="J44" s="5"/>
      <c r="K44" s="5"/>
    </row>
    <row r="45" spans="2:12" ht="15.75" thickBot="1" x14ac:dyDescent="0.3">
      <c r="B45" s="1424"/>
      <c r="C45" s="93"/>
      <c r="D45" s="40" t="s">
        <v>9</v>
      </c>
      <c r="E45" s="133" t="s">
        <v>2122</v>
      </c>
      <c r="F45" s="5"/>
      <c r="G45" s="5"/>
      <c r="H45" s="5"/>
      <c r="I45" s="5"/>
      <c r="J45" s="5"/>
      <c r="K45" s="5"/>
    </row>
    <row r="46" spans="2:12" ht="15.75" thickBot="1" x14ac:dyDescent="0.3">
      <c r="B46" s="1424"/>
      <c r="C46" s="93"/>
      <c r="D46" s="40" t="s">
        <v>11</v>
      </c>
      <c r="E46" s="133" t="s">
        <v>2123</v>
      </c>
      <c r="F46" s="5"/>
      <c r="G46" s="5"/>
      <c r="H46" s="5"/>
      <c r="I46" s="5"/>
      <c r="J46" s="5"/>
      <c r="K46" s="5"/>
    </row>
    <row r="47" spans="2:12" ht="15.75" thickBot="1" x14ac:dyDescent="0.3">
      <c r="B47" s="1424"/>
      <c r="C47" s="93"/>
      <c r="D47" s="40" t="s">
        <v>13</v>
      </c>
      <c r="E47" s="133">
        <v>6695278</v>
      </c>
      <c r="F47" s="5"/>
      <c r="G47" s="5"/>
      <c r="H47" s="5"/>
      <c r="I47" s="5"/>
      <c r="J47" s="5"/>
      <c r="K47" s="5"/>
    </row>
    <row r="48" spans="2:12" ht="15.75" thickBot="1" x14ac:dyDescent="0.3">
      <c r="B48" s="1425"/>
      <c r="C48" s="2"/>
      <c r="D48" s="40" t="s">
        <v>931</v>
      </c>
      <c r="E48" s="133" t="s">
        <v>2097</v>
      </c>
      <c r="F48" s="5"/>
      <c r="G48" s="5"/>
      <c r="H48" s="5"/>
      <c r="I48" s="5"/>
      <c r="J48" s="5"/>
      <c r="K48" s="5"/>
    </row>
    <row r="49" spans="2:11" ht="15.75" thickBot="1" x14ac:dyDescent="0.3">
      <c r="B49" s="1"/>
      <c r="C49" s="75"/>
      <c r="D49" s="5"/>
      <c r="E49" s="5"/>
      <c r="F49" s="5"/>
      <c r="G49" s="5"/>
      <c r="H49" s="5"/>
      <c r="I49" s="5"/>
      <c r="J49" s="5"/>
      <c r="K49" s="5"/>
    </row>
    <row r="50" spans="2:11" ht="15.75" thickBot="1" x14ac:dyDescent="0.3">
      <c r="B50" s="1426" t="s">
        <v>932</v>
      </c>
      <c r="C50" s="1427"/>
      <c r="D50" s="1427"/>
      <c r="E50" s="1428"/>
      <c r="F50" s="5"/>
      <c r="G50" s="5"/>
      <c r="H50" s="5"/>
      <c r="I50" s="5"/>
      <c r="J50" s="5"/>
      <c r="K50" s="5"/>
    </row>
    <row r="51" spans="2:11" ht="15.75" thickBot="1" x14ac:dyDescent="0.3">
      <c r="B51" s="1423">
        <v>1</v>
      </c>
      <c r="C51" s="93"/>
      <c r="D51" s="47" t="s">
        <v>929</v>
      </c>
      <c r="E51" s="125" t="s">
        <v>933</v>
      </c>
      <c r="F51" s="5"/>
      <c r="G51" s="5"/>
      <c r="H51" s="5"/>
      <c r="I51" s="5"/>
      <c r="J51" s="5"/>
      <c r="K51" s="5"/>
    </row>
    <row r="52" spans="2:11" ht="15.75" thickBot="1" x14ac:dyDescent="0.3">
      <c r="B52" s="1424"/>
      <c r="C52" s="93"/>
      <c r="D52" s="40" t="s">
        <v>7</v>
      </c>
      <c r="E52" s="167" t="s">
        <v>1025</v>
      </c>
      <c r="F52" s="5"/>
      <c r="G52" s="5"/>
      <c r="H52" s="5"/>
      <c r="I52" s="5"/>
      <c r="J52" s="5"/>
      <c r="K52" s="5"/>
    </row>
    <row r="53" spans="2:11" ht="15.75" thickBot="1" x14ac:dyDescent="0.3">
      <c r="B53" s="1424"/>
      <c r="C53" s="93"/>
      <c r="D53" s="40" t="s">
        <v>930</v>
      </c>
      <c r="E53" s="168"/>
      <c r="F53" s="5"/>
      <c r="G53" s="5"/>
      <c r="H53" s="5"/>
      <c r="I53" s="5"/>
      <c r="J53" s="5"/>
      <c r="K53" s="5"/>
    </row>
    <row r="54" spans="2:11" ht="15.75" thickBot="1" x14ac:dyDescent="0.3">
      <c r="B54" s="1424"/>
      <c r="C54" s="93"/>
      <c r="D54" s="40" t="s">
        <v>9</v>
      </c>
      <c r="E54" s="168"/>
      <c r="F54" s="5"/>
      <c r="G54" s="5"/>
      <c r="H54" s="5"/>
      <c r="I54" s="5"/>
      <c r="J54" s="5"/>
      <c r="K54" s="5"/>
    </row>
    <row r="55" spans="2:11" ht="15.75" thickBot="1" x14ac:dyDescent="0.3">
      <c r="B55" s="1424"/>
      <c r="C55" s="93"/>
      <c r="D55" s="40" t="s">
        <v>11</v>
      </c>
      <c r="E55" s="168"/>
      <c r="F55" s="5"/>
      <c r="G55" s="5"/>
      <c r="H55" s="5"/>
      <c r="I55" s="5"/>
      <c r="J55" s="5"/>
      <c r="K55" s="5"/>
    </row>
    <row r="56" spans="2:11" ht="15.75" thickBot="1" x14ac:dyDescent="0.3">
      <c r="B56" s="1424"/>
      <c r="C56" s="93"/>
      <c r="D56" s="40" t="s">
        <v>13</v>
      </c>
      <c r="E56" s="168"/>
      <c r="F56" s="5"/>
      <c r="G56" s="5"/>
      <c r="H56" s="5"/>
      <c r="I56" s="5"/>
      <c r="J56" s="5"/>
      <c r="K56" s="5"/>
    </row>
    <row r="57" spans="2:11" ht="15.75" thickBot="1" x14ac:dyDescent="0.3">
      <c r="B57" s="1425"/>
      <c r="C57" s="2"/>
      <c r="D57" s="40" t="s">
        <v>931</v>
      </c>
      <c r="E57" s="168"/>
      <c r="F57" s="5"/>
      <c r="G57" s="5"/>
      <c r="H57" s="5"/>
      <c r="I57" s="5"/>
      <c r="J57" s="5"/>
      <c r="K57" s="5"/>
    </row>
    <row r="58" spans="2:11" ht="15.75" thickBot="1" x14ac:dyDescent="0.3">
      <c r="B58" s="1"/>
      <c r="C58" s="75"/>
      <c r="D58" s="5"/>
      <c r="E58" s="5"/>
      <c r="F58" s="5"/>
      <c r="G58" s="5"/>
      <c r="H58" s="5"/>
      <c r="I58" s="5"/>
      <c r="J58" s="5"/>
      <c r="K58" s="5"/>
    </row>
    <row r="59" spans="2:11" ht="15" customHeight="1" thickBot="1" x14ac:dyDescent="0.3">
      <c r="B59" s="121" t="s">
        <v>935</v>
      </c>
      <c r="C59" s="122"/>
      <c r="D59" s="122"/>
      <c r="E59" s="123"/>
      <c r="G59" s="5"/>
      <c r="H59" s="5"/>
      <c r="I59" s="5"/>
      <c r="J59" s="5"/>
      <c r="K59" s="5"/>
    </row>
    <row r="60" spans="2:11" ht="24.75" thickBot="1" x14ac:dyDescent="0.3">
      <c r="B60" s="46" t="s">
        <v>936</v>
      </c>
      <c r="C60" s="40" t="s">
        <v>937</v>
      </c>
      <c r="D60" s="40" t="s">
        <v>938</v>
      </c>
      <c r="E60" s="40" t="s">
        <v>939</v>
      </c>
      <c r="F60" s="5"/>
      <c r="G60" s="5"/>
      <c r="H60" s="5"/>
      <c r="I60" s="5"/>
      <c r="J60" s="5"/>
    </row>
    <row r="61" spans="2:11" ht="72.75" thickBot="1" x14ac:dyDescent="0.3">
      <c r="B61" s="48">
        <v>42401</v>
      </c>
      <c r="C61" s="40">
        <v>1</v>
      </c>
      <c r="D61" s="40" t="s">
        <v>1626</v>
      </c>
      <c r="E61" s="40"/>
      <c r="F61" s="5"/>
      <c r="G61" s="5"/>
      <c r="H61" s="5"/>
      <c r="I61" s="5"/>
      <c r="J61" s="5"/>
    </row>
    <row r="62" spans="2:11" ht="15.75" thickBot="1" x14ac:dyDescent="0.3">
      <c r="B62" s="3"/>
      <c r="C62" s="94"/>
      <c r="D62" s="5"/>
      <c r="E62" s="5"/>
      <c r="F62" s="5"/>
      <c r="G62" s="5"/>
      <c r="H62" s="5"/>
      <c r="I62" s="5"/>
      <c r="J62" s="5"/>
      <c r="K62" s="5"/>
    </row>
    <row r="63" spans="2:11" ht="15.75" thickBot="1" x14ac:dyDescent="0.3">
      <c r="B63" s="128" t="s">
        <v>846</v>
      </c>
      <c r="C63" s="95"/>
      <c r="D63" s="5"/>
      <c r="E63" s="5"/>
      <c r="F63" s="5"/>
      <c r="G63" s="5"/>
      <c r="H63" s="5"/>
      <c r="I63" s="5"/>
      <c r="J63" s="5"/>
      <c r="K63" s="5"/>
    </row>
    <row r="64" spans="2:11" x14ac:dyDescent="0.25">
      <c r="B64" s="1582"/>
      <c r="C64" s="1583"/>
      <c r="D64" s="1583"/>
      <c r="E64" s="1584"/>
      <c r="F64" s="5"/>
      <c r="G64" s="5"/>
      <c r="H64" s="5"/>
      <c r="I64" s="5"/>
      <c r="J64" s="5"/>
      <c r="K64" s="5"/>
    </row>
    <row r="65" spans="2:11" ht="15.75" thickBot="1" x14ac:dyDescent="0.3">
      <c r="B65" s="1585"/>
      <c r="C65" s="1586"/>
      <c r="D65" s="1586"/>
      <c r="E65" s="1587"/>
      <c r="F65" s="5"/>
      <c r="G65" s="5"/>
      <c r="H65" s="5"/>
      <c r="I65" s="5"/>
      <c r="J65" s="5"/>
      <c r="K65" s="5"/>
    </row>
    <row r="66" spans="2:11" ht="15.75" thickBot="1" x14ac:dyDescent="0.3">
      <c r="B66" s="5"/>
      <c r="D66" s="5"/>
      <c r="E66" s="5"/>
      <c r="F66" s="5"/>
      <c r="G66" s="5"/>
      <c r="H66" s="5"/>
      <c r="I66" s="5"/>
      <c r="J66" s="5"/>
      <c r="K66" s="5"/>
    </row>
    <row r="67" spans="2:11" ht="15.75" thickBot="1" x14ac:dyDescent="0.3">
      <c r="B67" s="1426" t="s">
        <v>941</v>
      </c>
      <c r="C67" s="1427"/>
      <c r="D67" s="1428"/>
      <c r="E67" s="5"/>
      <c r="F67" s="5"/>
      <c r="G67" s="5"/>
      <c r="H67" s="5"/>
      <c r="I67" s="5"/>
      <c r="J67" s="5"/>
      <c r="K67" s="5"/>
    </row>
    <row r="68" spans="2:11" ht="60.75" thickBot="1" x14ac:dyDescent="0.3">
      <c r="B68" s="46" t="s">
        <v>942</v>
      </c>
      <c r="C68" s="2"/>
      <c r="D68" s="40" t="s">
        <v>1627</v>
      </c>
      <c r="E68" s="5"/>
      <c r="F68" s="5"/>
      <c r="G68" s="5"/>
      <c r="H68" s="5"/>
      <c r="I68" s="5"/>
      <c r="J68" s="5"/>
      <c r="K68" s="5"/>
    </row>
    <row r="69" spans="2:11" x14ac:dyDescent="0.25">
      <c r="B69" s="1423" t="s">
        <v>944</v>
      </c>
      <c r="C69" s="93"/>
      <c r="D69" s="52" t="s">
        <v>945</v>
      </c>
      <c r="E69" s="5"/>
      <c r="F69" s="5"/>
      <c r="G69" s="5"/>
      <c r="H69" s="5"/>
      <c r="I69" s="5"/>
      <c r="J69" s="5"/>
      <c r="K69" s="5"/>
    </row>
    <row r="70" spans="2:11" ht="96" x14ac:dyDescent="0.25">
      <c r="B70" s="1424"/>
      <c r="C70" s="93"/>
      <c r="D70" s="45" t="s">
        <v>1628</v>
      </c>
      <c r="E70" s="5"/>
      <c r="F70" s="5"/>
      <c r="G70" s="5"/>
      <c r="H70" s="5"/>
      <c r="I70" s="5"/>
      <c r="J70" s="5"/>
      <c r="K70" s="5"/>
    </row>
    <row r="71" spans="2:11" x14ac:dyDescent="0.25">
      <c r="B71" s="1424"/>
      <c r="C71" s="93"/>
      <c r="D71" s="52" t="s">
        <v>948</v>
      </c>
      <c r="E71" s="5"/>
      <c r="F71" s="5"/>
      <c r="G71" s="5"/>
      <c r="H71" s="5"/>
      <c r="I71" s="5"/>
      <c r="J71" s="5"/>
      <c r="K71" s="5"/>
    </row>
    <row r="72" spans="2:11" x14ac:dyDescent="0.25">
      <c r="B72" s="1424"/>
      <c r="C72" s="93"/>
      <c r="D72" s="45" t="s">
        <v>949</v>
      </c>
      <c r="E72" s="5"/>
      <c r="F72" s="5"/>
      <c r="G72" s="5"/>
      <c r="H72" s="5"/>
      <c r="I72" s="5"/>
      <c r="J72" s="5"/>
      <c r="K72" s="5"/>
    </row>
    <row r="73" spans="2:11" x14ac:dyDescent="0.25">
      <c r="B73" s="1424"/>
      <c r="C73" s="93"/>
      <c r="D73" s="45" t="s">
        <v>1629</v>
      </c>
      <c r="E73" s="5"/>
      <c r="F73" s="5"/>
      <c r="G73" s="5"/>
      <c r="H73" s="5"/>
      <c r="I73" s="5"/>
      <c r="J73" s="5"/>
      <c r="K73" s="5"/>
    </row>
    <row r="74" spans="2:11" x14ac:dyDescent="0.25">
      <c r="B74" s="1424"/>
      <c r="C74" s="93"/>
      <c r="D74" s="45" t="s">
        <v>950</v>
      </c>
      <c r="E74" s="5"/>
      <c r="F74" s="5"/>
      <c r="G74" s="5"/>
      <c r="H74" s="5"/>
      <c r="I74" s="5"/>
      <c r="J74" s="5"/>
      <c r="K74" s="5"/>
    </row>
    <row r="75" spans="2:11" x14ac:dyDescent="0.25">
      <c r="B75" s="1424"/>
      <c r="C75" s="93"/>
      <c r="D75" s="45" t="s">
        <v>1630</v>
      </c>
      <c r="E75" s="5"/>
      <c r="F75" s="5"/>
      <c r="G75" s="5"/>
      <c r="H75" s="5"/>
      <c r="I75" s="5"/>
      <c r="J75" s="5"/>
      <c r="K75" s="5"/>
    </row>
    <row r="76" spans="2:11" ht="24" x14ac:dyDescent="0.25">
      <c r="B76" s="1424"/>
      <c r="C76" s="93"/>
      <c r="D76" s="45" t="s">
        <v>1631</v>
      </c>
      <c r="E76" s="5"/>
      <c r="F76" s="5"/>
      <c r="G76" s="5"/>
      <c r="H76" s="5"/>
      <c r="I76" s="5"/>
      <c r="J76" s="5"/>
      <c r="K76" s="5"/>
    </row>
    <row r="77" spans="2:11" x14ac:dyDescent="0.25">
      <c r="B77" s="1424"/>
      <c r="C77" s="93"/>
      <c r="D77" s="52" t="s">
        <v>1172</v>
      </c>
      <c r="E77" s="5"/>
      <c r="F77" s="5"/>
      <c r="G77" s="5"/>
      <c r="H77" s="5"/>
      <c r="I77" s="5"/>
      <c r="J77" s="5"/>
      <c r="K77" s="5"/>
    </row>
    <row r="78" spans="2:11" x14ac:dyDescent="0.25">
      <c r="B78" s="1424"/>
      <c r="C78" s="93"/>
      <c r="D78" s="45" t="s">
        <v>1271</v>
      </c>
      <c r="E78" s="5"/>
      <c r="F78" s="5"/>
      <c r="G78" s="5"/>
      <c r="H78" s="5"/>
      <c r="I78" s="5"/>
      <c r="J78" s="5"/>
      <c r="K78" s="5"/>
    </row>
    <row r="79" spans="2:11" x14ac:dyDescent="0.25">
      <c r="B79" s="1424"/>
      <c r="C79" s="93"/>
      <c r="D79" s="45" t="s">
        <v>1632</v>
      </c>
      <c r="E79" s="5"/>
      <c r="F79" s="5"/>
      <c r="G79" s="5"/>
      <c r="H79" s="5"/>
      <c r="I79" s="5"/>
      <c r="J79" s="5"/>
      <c r="K79" s="5"/>
    </row>
    <row r="80" spans="2:11" ht="24" x14ac:dyDescent="0.25">
      <c r="B80" s="1424"/>
      <c r="C80" s="93"/>
      <c r="D80" s="45" t="s">
        <v>1633</v>
      </c>
      <c r="E80" s="5"/>
      <c r="F80" s="5"/>
      <c r="G80" s="5"/>
      <c r="H80" s="5"/>
      <c r="I80" s="5"/>
      <c r="J80" s="5"/>
      <c r="K80" s="5"/>
    </row>
    <row r="81" spans="2:11" ht="24" x14ac:dyDescent="0.25">
      <c r="B81" s="1424"/>
      <c r="C81" s="93"/>
      <c r="D81" s="45" t="s">
        <v>1634</v>
      </c>
      <c r="E81" s="5"/>
      <c r="F81" s="5"/>
      <c r="G81" s="5"/>
      <c r="H81" s="5"/>
      <c r="I81" s="5"/>
      <c r="J81" s="5"/>
      <c r="K81" s="5"/>
    </row>
    <row r="82" spans="2:11" ht="36" x14ac:dyDescent="0.25">
      <c r="B82" s="1424"/>
      <c r="C82" s="93"/>
      <c r="D82" s="45" t="s">
        <v>1635</v>
      </c>
      <c r="E82" s="5"/>
      <c r="F82" s="5"/>
      <c r="G82" s="5"/>
      <c r="H82" s="5"/>
      <c r="I82" s="5"/>
      <c r="J82" s="5"/>
      <c r="K82" s="5"/>
    </row>
    <row r="83" spans="2:11" x14ac:dyDescent="0.25">
      <c r="B83" s="1424"/>
      <c r="C83" s="93"/>
      <c r="D83" s="45" t="s">
        <v>1636</v>
      </c>
      <c r="E83" s="5"/>
      <c r="F83" s="5"/>
      <c r="G83" s="5"/>
      <c r="H83" s="5"/>
      <c r="I83" s="5"/>
      <c r="J83" s="5"/>
      <c r="K83" s="5"/>
    </row>
    <row r="84" spans="2:11" x14ac:dyDescent="0.25">
      <c r="B84" s="1424"/>
      <c r="C84" s="93"/>
      <c r="D84" s="45" t="s">
        <v>1637</v>
      </c>
      <c r="E84" s="5"/>
      <c r="F84" s="5"/>
      <c r="G84" s="5"/>
      <c r="H84" s="5"/>
      <c r="I84" s="5"/>
      <c r="J84" s="5"/>
      <c r="K84" s="5"/>
    </row>
    <row r="85" spans="2:11" ht="15.75" thickBot="1" x14ac:dyDescent="0.3">
      <c r="B85" s="1425"/>
      <c r="C85" s="2"/>
      <c r="D85" s="40" t="s">
        <v>1638</v>
      </c>
      <c r="E85" s="5"/>
      <c r="F85" s="5"/>
      <c r="G85" s="5"/>
      <c r="H85" s="5"/>
      <c r="I85" s="5"/>
      <c r="J85" s="5"/>
      <c r="K85" s="5"/>
    </row>
    <row r="86" spans="2:11" ht="24.75" thickBot="1" x14ac:dyDescent="0.3">
      <c r="B86" s="46" t="s">
        <v>957</v>
      </c>
      <c r="C86" s="2"/>
      <c r="D86" s="40"/>
      <c r="E86" s="5"/>
      <c r="F86" s="5"/>
      <c r="G86" s="5"/>
      <c r="H86" s="5"/>
      <c r="I86" s="5"/>
      <c r="J86" s="5"/>
      <c r="K86" s="5"/>
    </row>
    <row r="87" spans="2:11" ht="252" x14ac:dyDescent="0.25">
      <c r="B87" s="1423" t="s">
        <v>958</v>
      </c>
      <c r="C87" s="93"/>
      <c r="D87" s="45" t="s">
        <v>1639</v>
      </c>
      <c r="E87" s="5"/>
      <c r="F87" s="5"/>
      <c r="G87" s="5"/>
      <c r="H87" s="5"/>
      <c r="I87" s="5"/>
      <c r="J87" s="5"/>
      <c r="K87" s="5"/>
    </row>
    <row r="88" spans="2:11" ht="24" x14ac:dyDescent="0.25">
      <c r="B88" s="1424"/>
      <c r="C88" s="93"/>
      <c r="D88" s="45" t="s">
        <v>1640</v>
      </c>
      <c r="E88" s="5"/>
      <c r="F88" s="5"/>
      <c r="G88" s="5"/>
      <c r="H88" s="5"/>
      <c r="I88" s="5"/>
      <c r="J88" s="5"/>
      <c r="K88" s="5"/>
    </row>
    <row r="89" spans="2:11" ht="108" x14ac:dyDescent="0.25">
      <c r="B89" s="1424"/>
      <c r="C89" s="93"/>
      <c r="D89" s="45" t="s">
        <v>1641</v>
      </c>
      <c r="E89" s="5"/>
      <c r="F89" s="5"/>
      <c r="G89" s="5"/>
      <c r="H89" s="5"/>
      <c r="I89" s="5"/>
      <c r="J89" s="5"/>
      <c r="K89" s="5"/>
    </row>
    <row r="90" spans="2:11" ht="384" x14ac:dyDescent="0.25">
      <c r="B90" s="1424"/>
      <c r="C90" s="93"/>
      <c r="D90" s="45" t="s">
        <v>1642</v>
      </c>
      <c r="E90" s="5"/>
      <c r="F90" s="5"/>
      <c r="G90" s="5"/>
      <c r="H90" s="5"/>
      <c r="I90" s="5"/>
      <c r="J90" s="5"/>
      <c r="K90" s="5"/>
    </row>
    <row r="91" spans="2:11" ht="192" x14ac:dyDescent="0.25">
      <c r="B91" s="1424"/>
      <c r="C91" s="93"/>
      <c r="D91" s="45" t="s">
        <v>1643</v>
      </c>
      <c r="E91" s="5"/>
      <c r="F91" s="5"/>
      <c r="G91" s="5"/>
      <c r="H91" s="5"/>
      <c r="I91" s="5"/>
      <c r="J91" s="5"/>
      <c r="K91" s="5"/>
    </row>
    <row r="92" spans="2:11" ht="72" x14ac:dyDescent="0.25">
      <c r="B92" s="1424"/>
      <c r="C92" s="93"/>
      <c r="D92" s="45" t="s">
        <v>1644</v>
      </c>
      <c r="E92" s="5"/>
      <c r="F92" s="5"/>
      <c r="G92" s="5"/>
      <c r="H92" s="5"/>
      <c r="I92" s="5"/>
      <c r="J92" s="5"/>
      <c r="K92" s="5"/>
    </row>
    <row r="93" spans="2:11" ht="24" x14ac:dyDescent="0.25">
      <c r="B93" s="1424"/>
      <c r="C93" s="93"/>
      <c r="D93" s="45" t="s">
        <v>1645</v>
      </c>
      <c r="E93" s="5"/>
      <c r="F93" s="5"/>
      <c r="G93" s="5"/>
      <c r="H93" s="5"/>
      <c r="I93" s="5"/>
      <c r="J93" s="5"/>
      <c r="K93" s="5"/>
    </row>
    <row r="94" spans="2:11" ht="24" x14ac:dyDescent="0.25">
      <c r="B94" s="1424"/>
      <c r="C94" s="93"/>
      <c r="D94" s="45" t="s">
        <v>1646</v>
      </c>
      <c r="E94" s="5"/>
      <c r="F94" s="5"/>
      <c r="G94" s="5"/>
      <c r="H94" s="5"/>
      <c r="I94" s="5"/>
      <c r="J94" s="5"/>
      <c r="K94" s="5"/>
    </row>
    <row r="95" spans="2:11" ht="24" x14ac:dyDescent="0.25">
      <c r="B95" s="1424"/>
      <c r="C95" s="93"/>
      <c r="D95" s="45" t="s">
        <v>1647</v>
      </c>
      <c r="E95" s="5"/>
      <c r="F95" s="5"/>
      <c r="G95" s="5"/>
      <c r="H95" s="5"/>
      <c r="I95" s="5"/>
      <c r="J95" s="5"/>
      <c r="K95" s="5"/>
    </row>
    <row r="96" spans="2:11" ht="84" x14ac:dyDescent="0.25">
      <c r="B96" s="1424"/>
      <c r="C96" s="93"/>
      <c r="D96" s="45" t="s">
        <v>1648</v>
      </c>
      <c r="E96" s="5"/>
      <c r="F96" s="5"/>
      <c r="G96" s="5"/>
      <c r="H96" s="5"/>
      <c r="I96" s="5"/>
      <c r="J96" s="5"/>
      <c r="K96" s="5"/>
    </row>
    <row r="97" spans="2:11" ht="24" x14ac:dyDescent="0.25">
      <c r="B97" s="1424"/>
      <c r="C97" s="93"/>
      <c r="D97" s="45" t="s">
        <v>1649</v>
      </c>
      <c r="E97" s="5"/>
      <c r="F97" s="5"/>
      <c r="G97" s="5"/>
      <c r="H97" s="5"/>
      <c r="I97" s="5"/>
      <c r="J97" s="5"/>
      <c r="K97" s="5"/>
    </row>
    <row r="98" spans="2:11" ht="24" x14ac:dyDescent="0.25">
      <c r="B98" s="1424"/>
      <c r="C98" s="93"/>
      <c r="D98" s="45" t="s">
        <v>1650</v>
      </c>
      <c r="E98" s="5"/>
      <c r="F98" s="5"/>
      <c r="G98" s="5"/>
      <c r="H98" s="5"/>
      <c r="I98" s="5"/>
      <c r="J98" s="5"/>
      <c r="K98" s="5"/>
    </row>
    <row r="99" spans="2:11" x14ac:dyDescent="0.25">
      <c r="B99" s="1424"/>
      <c r="C99" s="93"/>
      <c r="D99" s="45" t="s">
        <v>1651</v>
      </c>
      <c r="E99" s="5"/>
      <c r="F99" s="5"/>
      <c r="G99" s="5"/>
      <c r="H99" s="5"/>
      <c r="I99" s="5"/>
      <c r="J99" s="5"/>
      <c r="K99" s="5"/>
    </row>
    <row r="100" spans="2:11" ht="24" x14ac:dyDescent="0.25">
      <c r="B100" s="1424"/>
      <c r="C100" s="93"/>
      <c r="D100" s="45" t="s">
        <v>1652</v>
      </c>
      <c r="E100" s="5"/>
      <c r="F100" s="5"/>
      <c r="G100" s="5"/>
      <c r="H100" s="5"/>
      <c r="I100" s="5"/>
      <c r="J100" s="5"/>
      <c r="K100" s="5"/>
    </row>
    <row r="101" spans="2:11" ht="36" x14ac:dyDescent="0.25">
      <c r="B101" s="1424"/>
      <c r="C101" s="93"/>
      <c r="D101" s="45" t="s">
        <v>1653</v>
      </c>
      <c r="E101" s="5"/>
      <c r="F101" s="5"/>
      <c r="G101" s="5"/>
      <c r="H101" s="5"/>
      <c r="I101" s="5"/>
      <c r="J101" s="5"/>
      <c r="K101" s="5"/>
    </row>
    <row r="102" spans="2:11" ht="24" x14ac:dyDescent="0.25">
      <c r="B102" s="1424"/>
      <c r="C102" s="93"/>
      <c r="D102" s="45" t="s">
        <v>1654</v>
      </c>
      <c r="E102" s="5"/>
      <c r="F102" s="5"/>
      <c r="G102" s="5"/>
      <c r="H102" s="5"/>
      <c r="I102" s="5"/>
      <c r="J102" s="5"/>
      <c r="K102" s="5"/>
    </row>
    <row r="103" spans="2:11" ht="24" x14ac:dyDescent="0.25">
      <c r="B103" s="1424"/>
      <c r="C103" s="93"/>
      <c r="D103" s="45" t="s">
        <v>1655</v>
      </c>
      <c r="E103" s="5"/>
      <c r="F103" s="5"/>
      <c r="G103" s="5"/>
      <c r="H103" s="5"/>
      <c r="I103" s="5"/>
      <c r="J103" s="5"/>
      <c r="K103" s="5"/>
    </row>
    <row r="104" spans="2:11" ht="72" x14ac:dyDescent="0.25">
      <c r="B104" s="1424"/>
      <c r="C104" s="93"/>
      <c r="D104" s="45" t="s">
        <v>1656</v>
      </c>
      <c r="E104" s="5"/>
      <c r="F104" s="5"/>
      <c r="G104" s="5"/>
      <c r="H104" s="5"/>
      <c r="I104" s="5"/>
      <c r="J104" s="5"/>
      <c r="K104" s="5"/>
    </row>
    <row r="105" spans="2:11" ht="48" x14ac:dyDescent="0.25">
      <c r="B105" s="1424"/>
      <c r="C105" s="93"/>
      <c r="D105" s="45" t="s">
        <v>1657</v>
      </c>
      <c r="E105" s="5"/>
      <c r="F105" s="5"/>
      <c r="G105" s="5"/>
      <c r="H105" s="5"/>
      <c r="I105" s="5"/>
      <c r="J105" s="5"/>
      <c r="K105" s="5"/>
    </row>
    <row r="106" spans="2:11" ht="48" x14ac:dyDescent="0.25">
      <c r="B106" s="1424"/>
      <c r="C106" s="93"/>
      <c r="D106" s="45" t="s">
        <v>1658</v>
      </c>
      <c r="E106" s="5"/>
      <c r="F106" s="5"/>
      <c r="G106" s="5"/>
      <c r="H106" s="5"/>
      <c r="I106" s="5"/>
      <c r="J106" s="5"/>
      <c r="K106" s="5"/>
    </row>
    <row r="107" spans="2:11" ht="36" x14ac:dyDescent="0.25">
      <c r="B107" s="1424"/>
      <c r="C107" s="93"/>
      <c r="D107" s="45" t="s">
        <v>1659</v>
      </c>
      <c r="E107" s="5"/>
      <c r="F107" s="5"/>
      <c r="G107" s="5"/>
      <c r="H107" s="5"/>
      <c r="I107" s="5"/>
      <c r="J107" s="5"/>
      <c r="K107" s="5"/>
    </row>
    <row r="108" spans="2:11" ht="24" x14ac:dyDescent="0.25">
      <c r="B108" s="1424"/>
      <c r="C108" s="93"/>
      <c r="D108" s="45" t="s">
        <v>1660</v>
      </c>
      <c r="E108" s="5"/>
      <c r="F108" s="5"/>
      <c r="G108" s="5"/>
      <c r="H108" s="5"/>
      <c r="I108" s="5"/>
      <c r="J108" s="5"/>
      <c r="K108" s="5"/>
    </row>
    <row r="109" spans="2:11" ht="36" x14ac:dyDescent="0.25">
      <c r="B109" s="1424"/>
      <c r="C109" s="93"/>
      <c r="D109" s="45" t="s">
        <v>1661</v>
      </c>
      <c r="E109" s="5"/>
      <c r="F109" s="5"/>
      <c r="G109" s="5"/>
      <c r="H109" s="5"/>
      <c r="I109" s="5"/>
      <c r="J109" s="5"/>
      <c r="K109" s="5"/>
    </row>
    <row r="110" spans="2:11" ht="24" x14ac:dyDescent="0.25">
      <c r="B110" s="1424"/>
      <c r="C110" s="93"/>
      <c r="D110" s="45" t="s">
        <v>1662</v>
      </c>
      <c r="E110" s="5"/>
      <c r="F110" s="5"/>
      <c r="G110" s="5"/>
      <c r="H110" s="5"/>
      <c r="I110" s="5"/>
      <c r="J110" s="5"/>
      <c r="K110" s="5"/>
    </row>
    <row r="111" spans="2:11" ht="36" x14ac:dyDescent="0.25">
      <c r="B111" s="1424"/>
      <c r="C111" s="93"/>
      <c r="D111" s="45" t="s">
        <v>1663</v>
      </c>
      <c r="E111" s="5"/>
      <c r="F111" s="5"/>
      <c r="G111" s="5"/>
      <c r="H111" s="5"/>
      <c r="I111" s="5"/>
      <c r="J111" s="5"/>
      <c r="K111" s="5"/>
    </row>
    <row r="112" spans="2:11" ht="36" x14ac:dyDescent="0.25">
      <c r="B112" s="1424"/>
      <c r="C112" s="93"/>
      <c r="D112" s="45" t="s">
        <v>1664</v>
      </c>
      <c r="E112" s="5"/>
      <c r="F112" s="5"/>
      <c r="G112" s="5"/>
      <c r="H112" s="5"/>
      <c r="I112" s="5"/>
      <c r="J112" s="5"/>
      <c r="K112" s="5"/>
    </row>
    <row r="113" spans="2:11" ht="36" x14ac:dyDescent="0.25">
      <c r="B113" s="1424"/>
      <c r="C113" s="93"/>
      <c r="D113" s="45" t="s">
        <v>1665</v>
      </c>
      <c r="E113" s="5"/>
      <c r="F113" s="5"/>
      <c r="G113" s="5"/>
      <c r="H113" s="5"/>
      <c r="I113" s="5"/>
      <c r="J113" s="5"/>
      <c r="K113" s="5"/>
    </row>
    <row r="114" spans="2:11" ht="60" x14ac:dyDescent="0.25">
      <c r="B114" s="1424"/>
      <c r="C114" s="93"/>
      <c r="D114" s="45" t="s">
        <v>1666</v>
      </c>
      <c r="E114" s="5"/>
      <c r="F114" s="5"/>
      <c r="G114" s="5"/>
      <c r="H114" s="5"/>
      <c r="I114" s="5"/>
      <c r="J114" s="5"/>
      <c r="K114" s="5"/>
    </row>
    <row r="115" spans="2:11" ht="48" x14ac:dyDescent="0.25">
      <c r="B115" s="1424"/>
      <c r="C115" s="93"/>
      <c r="D115" s="45" t="s">
        <v>1667</v>
      </c>
      <c r="E115" s="5"/>
      <c r="F115" s="5"/>
      <c r="G115" s="5"/>
      <c r="H115" s="5"/>
      <c r="I115" s="5"/>
      <c r="J115" s="5"/>
      <c r="K115" s="5"/>
    </row>
    <row r="116" spans="2:11" ht="24" x14ac:dyDescent="0.25">
      <c r="B116" s="1424"/>
      <c r="C116" s="93"/>
      <c r="D116" s="45" t="s">
        <v>1668</v>
      </c>
      <c r="E116" s="5"/>
      <c r="F116" s="5"/>
      <c r="G116" s="5"/>
      <c r="H116" s="5"/>
      <c r="I116" s="5"/>
      <c r="J116" s="5"/>
      <c r="K116" s="5"/>
    </row>
    <row r="117" spans="2:11" ht="24" x14ac:dyDescent="0.25">
      <c r="B117" s="1424"/>
      <c r="C117" s="93"/>
      <c r="D117" s="45" t="s">
        <v>1669</v>
      </c>
      <c r="E117" s="5"/>
      <c r="F117" s="5"/>
      <c r="G117" s="5"/>
      <c r="H117" s="5"/>
      <c r="I117" s="5"/>
      <c r="J117" s="5"/>
      <c r="K117" s="5"/>
    </row>
    <row r="118" spans="2:11" ht="24" x14ac:dyDescent="0.25">
      <c r="B118" s="1424"/>
      <c r="C118" s="93"/>
      <c r="D118" s="45" t="s">
        <v>1670</v>
      </c>
      <c r="E118" s="5"/>
      <c r="F118" s="5"/>
      <c r="G118" s="5"/>
      <c r="H118" s="5"/>
      <c r="I118" s="5"/>
      <c r="J118" s="5"/>
      <c r="K118" s="5"/>
    </row>
    <row r="119" spans="2:11" ht="24" x14ac:dyDescent="0.25">
      <c r="B119" s="1424"/>
      <c r="C119" s="93"/>
      <c r="D119" s="45" t="s">
        <v>1671</v>
      </c>
      <c r="E119" s="5"/>
      <c r="F119" s="5"/>
      <c r="G119" s="5"/>
      <c r="H119" s="5"/>
      <c r="I119" s="5"/>
      <c r="J119" s="5"/>
      <c r="K119" s="5"/>
    </row>
    <row r="120" spans="2:11" ht="48" x14ac:dyDescent="0.25">
      <c r="B120" s="1424"/>
      <c r="C120" s="93"/>
      <c r="D120" s="45" t="s">
        <v>1672</v>
      </c>
      <c r="E120" s="5"/>
      <c r="F120" s="5"/>
      <c r="G120" s="5"/>
      <c r="H120" s="5"/>
      <c r="I120" s="5"/>
      <c r="J120" s="5"/>
      <c r="K120" s="5"/>
    </row>
    <row r="121" spans="2:11" ht="24" x14ac:dyDescent="0.25">
      <c r="B121" s="1424"/>
      <c r="C121" s="93"/>
      <c r="D121" s="45" t="s">
        <v>1673</v>
      </c>
      <c r="E121" s="5"/>
      <c r="F121" s="5"/>
      <c r="G121" s="5"/>
      <c r="H121" s="5"/>
      <c r="I121" s="5"/>
      <c r="J121" s="5"/>
      <c r="K121" s="5"/>
    </row>
    <row r="122" spans="2:11" ht="36.75" thickBot="1" x14ac:dyDescent="0.3">
      <c r="B122" s="1425"/>
      <c r="C122" s="2"/>
      <c r="D122" s="40" t="s">
        <v>1674</v>
      </c>
      <c r="E122" s="5"/>
      <c r="F122" s="5"/>
      <c r="G122" s="5"/>
      <c r="H122" s="5"/>
      <c r="I122" s="5"/>
      <c r="J122" s="5"/>
      <c r="K122" s="5"/>
    </row>
    <row r="123" spans="2:11" ht="24" x14ac:dyDescent="0.25">
      <c r="B123" s="1423" t="s">
        <v>975</v>
      </c>
      <c r="C123" s="93"/>
      <c r="D123" s="52" t="s">
        <v>1612</v>
      </c>
      <c r="E123" s="5"/>
      <c r="F123" s="5"/>
      <c r="G123" s="5"/>
      <c r="H123" s="5"/>
      <c r="I123" s="5"/>
      <c r="J123" s="5"/>
      <c r="K123" s="5"/>
    </row>
    <row r="124" spans="2:11" ht="25.35" customHeight="1" x14ac:dyDescent="0.25">
      <c r="B124" s="1424"/>
      <c r="C124" s="93"/>
      <c r="D124" s="45" t="s">
        <v>1153</v>
      </c>
      <c r="E124" s="5"/>
      <c r="F124" s="5"/>
      <c r="G124" s="5"/>
      <c r="H124" s="5"/>
      <c r="I124" s="5"/>
      <c r="J124" s="5"/>
      <c r="K124" s="5"/>
    </row>
    <row r="125" spans="2:11" x14ac:dyDescent="0.25">
      <c r="B125" s="1424"/>
      <c r="C125" s="93"/>
      <c r="D125" s="45" t="s">
        <v>976</v>
      </c>
      <c r="E125" s="5"/>
      <c r="F125" s="5"/>
      <c r="G125" s="5"/>
      <c r="H125" s="5"/>
      <c r="I125" s="5"/>
      <c r="J125" s="5"/>
      <c r="K125" s="5"/>
    </row>
    <row r="126" spans="2:11" ht="37.5" x14ac:dyDescent="0.25">
      <c r="B126" s="1424"/>
      <c r="C126" s="93"/>
      <c r="D126" s="45" t="s">
        <v>1675</v>
      </c>
      <c r="E126" s="5"/>
      <c r="F126" s="5"/>
      <c r="G126" s="5"/>
      <c r="H126" s="5"/>
      <c r="I126" s="5"/>
      <c r="J126" s="5"/>
      <c r="K126" s="5"/>
    </row>
    <row r="127" spans="2:11" ht="37.5" x14ac:dyDescent="0.25">
      <c r="B127" s="1424"/>
      <c r="C127" s="93"/>
      <c r="D127" s="45" t="s">
        <v>1676</v>
      </c>
      <c r="E127" s="5"/>
      <c r="F127" s="5"/>
      <c r="G127" s="5"/>
      <c r="H127" s="5"/>
      <c r="I127" s="5"/>
      <c r="J127" s="5"/>
      <c r="K127" s="5"/>
    </row>
    <row r="128" spans="2:11" ht="37.5" x14ac:dyDescent="0.25">
      <c r="B128" s="1424"/>
      <c r="C128" s="93"/>
      <c r="D128" s="45" t="s">
        <v>1677</v>
      </c>
      <c r="E128" s="5"/>
      <c r="F128" s="5"/>
      <c r="G128" s="5"/>
      <c r="H128" s="5"/>
      <c r="I128" s="5"/>
      <c r="J128" s="5"/>
      <c r="K128" s="5"/>
    </row>
    <row r="129" spans="2:11" ht="37.5" x14ac:dyDescent="0.25">
      <c r="B129" s="1424"/>
      <c r="C129" s="93"/>
      <c r="D129" s="45" t="s">
        <v>1678</v>
      </c>
      <c r="E129" s="5"/>
      <c r="F129" s="5"/>
      <c r="G129" s="5"/>
      <c r="H129" s="5"/>
      <c r="I129" s="5"/>
      <c r="J129" s="5"/>
      <c r="K129" s="5"/>
    </row>
    <row r="130" spans="2:11" x14ac:dyDescent="0.25">
      <c r="B130" s="1424"/>
      <c r="C130" s="93"/>
      <c r="D130" s="45" t="s">
        <v>1679</v>
      </c>
      <c r="E130" s="5"/>
      <c r="F130" s="5"/>
      <c r="G130" s="5"/>
      <c r="H130" s="5"/>
      <c r="I130" s="5"/>
      <c r="J130" s="5"/>
      <c r="K130" s="5"/>
    </row>
    <row r="131" spans="2:11" x14ac:dyDescent="0.25">
      <c r="B131" s="1424"/>
      <c r="C131" s="93"/>
      <c r="D131" s="45" t="s">
        <v>1680</v>
      </c>
      <c r="E131" s="5"/>
      <c r="F131" s="5"/>
      <c r="G131" s="5"/>
      <c r="H131" s="5"/>
      <c r="I131" s="5"/>
      <c r="J131" s="5"/>
      <c r="K131" s="5"/>
    </row>
    <row r="132" spans="2:11" x14ac:dyDescent="0.25">
      <c r="B132" s="1424"/>
      <c r="C132" s="93"/>
      <c r="D132" s="45" t="s">
        <v>1681</v>
      </c>
      <c r="E132" s="5"/>
      <c r="F132" s="5"/>
      <c r="G132" s="5"/>
      <c r="H132" s="5"/>
      <c r="I132" s="5"/>
      <c r="J132" s="5"/>
      <c r="K132" s="5"/>
    </row>
    <row r="133" spans="2:11" x14ac:dyDescent="0.25">
      <c r="B133" s="1424"/>
      <c r="C133" s="93"/>
      <c r="D133" s="45" t="s">
        <v>1682</v>
      </c>
      <c r="E133" s="5"/>
      <c r="F133" s="5"/>
      <c r="G133" s="5"/>
      <c r="H133" s="5"/>
      <c r="I133" s="5"/>
      <c r="J133" s="5"/>
      <c r="K133" s="5"/>
    </row>
    <row r="134" spans="2:11" ht="84" x14ac:dyDescent="0.25">
      <c r="B134" s="1424"/>
      <c r="C134" s="93"/>
      <c r="D134" s="53" t="s">
        <v>1142</v>
      </c>
      <c r="E134" s="5"/>
      <c r="F134" s="5"/>
      <c r="G134" s="5"/>
      <c r="H134" s="5"/>
      <c r="I134" s="5"/>
      <c r="J134" s="5"/>
      <c r="K134" s="5"/>
    </row>
    <row r="135" spans="2:11" x14ac:dyDescent="0.25">
      <c r="B135" s="1424"/>
      <c r="C135" s="93"/>
      <c r="D135" s="56" t="s">
        <v>1116</v>
      </c>
      <c r="E135" s="5"/>
      <c r="F135" s="5"/>
      <c r="G135" s="5"/>
      <c r="H135" s="5"/>
      <c r="I135" s="5"/>
      <c r="J135" s="5"/>
      <c r="K135" s="5"/>
    </row>
    <row r="136" spans="2:11" ht="24" x14ac:dyDescent="0.25">
      <c r="B136" s="1424"/>
      <c r="C136" s="93"/>
      <c r="D136" s="52" t="s">
        <v>1683</v>
      </c>
      <c r="E136" s="5"/>
      <c r="F136" s="5"/>
      <c r="G136" s="5"/>
      <c r="H136" s="5"/>
      <c r="I136" s="5"/>
      <c r="J136" s="5"/>
      <c r="K136" s="5"/>
    </row>
    <row r="137" spans="2:11" ht="23.1" customHeight="1" x14ac:dyDescent="0.25">
      <c r="B137" s="1424"/>
      <c r="C137" s="93"/>
      <c r="D137" s="45" t="s">
        <v>1153</v>
      </c>
      <c r="E137" s="5"/>
      <c r="F137" s="5"/>
      <c r="G137" s="5"/>
      <c r="H137" s="5"/>
      <c r="I137" s="5"/>
      <c r="J137" s="5"/>
      <c r="K137" s="5"/>
    </row>
    <row r="138" spans="2:11" x14ac:dyDescent="0.25">
      <c r="B138" s="1424"/>
      <c r="C138" s="93"/>
      <c r="D138" s="45" t="s">
        <v>976</v>
      </c>
      <c r="E138" s="5"/>
      <c r="F138" s="5"/>
      <c r="G138" s="5"/>
      <c r="H138" s="5"/>
      <c r="I138" s="5"/>
      <c r="J138" s="5"/>
      <c r="K138" s="5"/>
    </row>
    <row r="139" spans="2:11" ht="37.5" x14ac:dyDescent="0.25">
      <c r="B139" s="1424"/>
      <c r="C139" s="93"/>
      <c r="D139" s="45" t="s">
        <v>1684</v>
      </c>
      <c r="E139" s="5"/>
      <c r="F139" s="5"/>
      <c r="G139" s="5"/>
      <c r="H139" s="5"/>
      <c r="I139" s="5"/>
      <c r="J139" s="5"/>
      <c r="K139" s="5"/>
    </row>
    <row r="140" spans="2:11" ht="37.5" x14ac:dyDescent="0.25">
      <c r="B140" s="1424"/>
      <c r="C140" s="93"/>
      <c r="D140" s="45" t="s">
        <v>1685</v>
      </c>
      <c r="E140" s="5"/>
      <c r="F140" s="5"/>
      <c r="G140" s="5"/>
      <c r="H140" s="5"/>
      <c r="I140" s="5"/>
      <c r="J140" s="5"/>
      <c r="K140" s="5"/>
    </row>
    <row r="141" spans="2:11" ht="38.25" thickBot="1" x14ac:dyDescent="0.3">
      <c r="B141" s="1425"/>
      <c r="C141" s="2"/>
      <c r="D141" s="40" t="s">
        <v>1686</v>
      </c>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sheetData>
  <sheetProtection insertColumns="0" insertRows="0"/>
  <mergeCells count="36">
    <mergeCell ref="A1:P1"/>
    <mergeCell ref="A2:P2"/>
    <mergeCell ref="A3:P3"/>
    <mergeCell ref="A4:D4"/>
    <mergeCell ref="A5:P5"/>
    <mergeCell ref="B15:B19"/>
    <mergeCell ref="B41:E41"/>
    <mergeCell ref="B42:B48"/>
    <mergeCell ref="B50:E50"/>
    <mergeCell ref="B51:B57"/>
    <mergeCell ref="D15:L15"/>
    <mergeCell ref="D16:L16"/>
    <mergeCell ref="D19:L19"/>
    <mergeCell ref="D20:L20"/>
    <mergeCell ref="D27:L27"/>
    <mergeCell ref="D28:L28"/>
    <mergeCell ref="D29:L29"/>
    <mergeCell ref="D36:L36"/>
    <mergeCell ref="E21:E22"/>
    <mergeCell ref="F21:J21"/>
    <mergeCell ref="C30:C31"/>
    <mergeCell ref="D30:D31"/>
    <mergeCell ref="E30:E31"/>
    <mergeCell ref="F30:K30"/>
    <mergeCell ref="C21:C22"/>
    <mergeCell ref="D21:D22"/>
    <mergeCell ref="B64:E65"/>
    <mergeCell ref="B67:D67"/>
    <mergeCell ref="B69:B85"/>
    <mergeCell ref="B87:B122"/>
    <mergeCell ref="B123:B141"/>
    <mergeCell ref="B10:D10"/>
    <mergeCell ref="F10:S10"/>
    <mergeCell ref="F11:S11"/>
    <mergeCell ref="E12:R12"/>
    <mergeCell ref="E13:R13"/>
  </mergeCells>
  <conditionalFormatting sqref="H26">
    <cfRule type="containsText" dxfId="52" priority="5" operator="containsText" text="ERROR">
      <formula>NOT(ISERROR(SEARCH("ERROR",H26)))</formula>
    </cfRule>
  </conditionalFormatting>
  <conditionalFormatting sqref="F10">
    <cfRule type="notContainsBlanks" dxfId="51" priority="4">
      <formula>LEN(TRIM(F10))&gt;0</formula>
    </cfRule>
  </conditionalFormatting>
  <conditionalFormatting sqref="F11:S11">
    <cfRule type="expression" dxfId="50" priority="2">
      <formula>E11="NO SE REPORTA"</formula>
    </cfRule>
    <cfRule type="expression" dxfId="49" priority="3">
      <formula>E10="NO APLICA"</formula>
    </cfRule>
  </conditionalFormatting>
  <conditionalFormatting sqref="E12:R12">
    <cfRule type="expression" dxfId="48"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8">
      <formula1>0</formula1>
    </dataValidation>
    <dataValidation type="whole" operator="greaterThanOrEqual" allowBlank="1" showInputMessage="1" showErrorMessage="1" errorTitle="ERROR" error="Valor en PESOS (sin centavos)" sqref="F32:I34">
      <formula1>0</formula1>
    </dataValidation>
    <dataValidation allowBlank="1" showInputMessage="1" showErrorMessage="1" sqref="G35:I35 J32:K35 H26:I26"/>
    <dataValidation type="list" allowBlank="1" showInputMessage="1" showErrorMessage="1" sqref="E11">
      <formula1>REPORTE</formula1>
    </dataValidation>
    <dataValidation type="list" allowBlank="1" showInputMessage="1" showErrorMessage="1" sqref="E10">
      <formula1>SI</formula1>
    </dataValidation>
    <dataValidation type="decimal" allowBlank="1" showInputMessage="1" showErrorMessage="1" prompt="ERROR - Escriba un valor entre 0% y 100%" sqref="F23:H25">
      <formula1>0</formula1>
      <formula2>1</formula2>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dimension ref="A1:U180"/>
  <sheetViews>
    <sheetView showGridLines="0" topLeftCell="B1" zoomScale="98" zoomScaleNormal="98" workbookViewId="0">
      <selection activeCell="H24" sqref="H24"/>
    </sheetView>
  </sheetViews>
  <sheetFormatPr baseColWidth="10" defaultColWidth="10.7109375" defaultRowHeight="15" x14ac:dyDescent="0.25"/>
  <cols>
    <col min="1" max="1" width="1.85546875" customWidth="1"/>
    <col min="2" max="2" width="10.85546875" customWidth="1"/>
    <col min="3" max="3" width="5" style="86" bestFit="1" customWidth="1"/>
    <col min="4" max="4" width="34.85546875" customWidth="1"/>
    <col min="5" max="5" width="18.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109</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2022</v>
      </c>
      <c r="D8" s="214">
        <f>IF(E10="NO APLICA","NO APLICA",IF(E11="NO SE REPORTA","SIN INFORMACION",+F42))</f>
        <v>0.99995206602613085</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ht="15.6" customHeight="1" thickTop="1" thickBot="1" x14ac:dyDescent="0.3">
      <c r="B15" s="1514" t="s">
        <v>888</v>
      </c>
      <c r="C15" s="88"/>
      <c r="D15" s="1408" t="s">
        <v>1189</v>
      </c>
      <c r="E15" s="1409"/>
      <c r="F15" s="1409"/>
      <c r="G15" s="1409"/>
      <c r="H15" s="1409"/>
      <c r="I15" s="1409"/>
      <c r="J15" s="1409"/>
      <c r="K15" s="1409"/>
      <c r="L15" s="1516"/>
    </row>
    <row r="16" spans="1:21" ht="15.75" thickBot="1" x14ac:dyDescent="0.3">
      <c r="B16" s="1515"/>
      <c r="C16" s="89" t="s">
        <v>842</v>
      </c>
      <c r="D16" s="38" t="s">
        <v>1099</v>
      </c>
      <c r="E16" s="38" t="s">
        <v>909</v>
      </c>
      <c r="F16" s="38" t="s">
        <v>910</v>
      </c>
      <c r="G16" s="38" t="s">
        <v>911</v>
      </c>
      <c r="H16" s="38" t="s">
        <v>912</v>
      </c>
      <c r="I16" s="38" t="s">
        <v>1497</v>
      </c>
      <c r="J16" s="5"/>
      <c r="L16" s="21"/>
    </row>
    <row r="17" spans="2:12" ht="48.75" thickBot="1" x14ac:dyDescent="0.3">
      <c r="B17" s="1515"/>
      <c r="C17" s="90" t="s">
        <v>1017</v>
      </c>
      <c r="D17" s="40" t="s">
        <v>1687</v>
      </c>
      <c r="E17" s="6">
        <v>6</v>
      </c>
      <c r="F17" s="6">
        <v>9</v>
      </c>
      <c r="G17" s="6">
        <v>6</v>
      </c>
      <c r="H17" s="6"/>
      <c r="I17" s="42">
        <f>SUM(E17:H17)</f>
        <v>21</v>
      </c>
      <c r="J17" s="5"/>
      <c r="L17" s="21"/>
    </row>
    <row r="18" spans="2:12" ht="15.75" thickBot="1" x14ac:dyDescent="0.3">
      <c r="B18" s="1515"/>
      <c r="C18" s="90" t="s">
        <v>1019</v>
      </c>
      <c r="D18" s="40" t="s">
        <v>1622</v>
      </c>
      <c r="E18" s="593">
        <v>350000000</v>
      </c>
      <c r="F18" s="593">
        <v>550000000</v>
      </c>
      <c r="G18" s="186">
        <f>+H24</f>
        <v>1845330000</v>
      </c>
      <c r="H18" s="186"/>
      <c r="I18" s="134">
        <f>SUM(E18:H18)</f>
        <v>2745330000</v>
      </c>
      <c r="J18" s="5"/>
      <c r="L18" s="21"/>
    </row>
    <row r="19" spans="2:12" ht="15.75" thickBot="1" x14ac:dyDescent="0.3">
      <c r="B19" s="1515"/>
      <c r="C19" s="90" t="s">
        <v>1021</v>
      </c>
      <c r="D19" s="40" t="s">
        <v>1688</v>
      </c>
      <c r="E19" s="593">
        <v>350000000</v>
      </c>
      <c r="F19" s="593">
        <v>2050000000</v>
      </c>
      <c r="G19" s="186">
        <f>+I24</f>
        <v>1845330000</v>
      </c>
      <c r="H19" s="186"/>
      <c r="I19" s="134">
        <f>SUM(E19:H19)</f>
        <v>4245330000</v>
      </c>
      <c r="J19" s="5"/>
      <c r="L19" s="21"/>
    </row>
    <row r="20" spans="2:12" x14ac:dyDescent="0.25">
      <c r="B20" s="216"/>
      <c r="C20" s="91"/>
      <c r="D20" s="1414"/>
      <c r="E20" s="1415"/>
      <c r="F20" s="1415"/>
      <c r="G20" s="1415"/>
      <c r="H20" s="1415"/>
      <c r="I20" s="1415"/>
      <c r="J20" s="1415"/>
      <c r="K20" s="1415"/>
      <c r="L20" s="1517"/>
    </row>
    <row r="21" spans="2:12" ht="15.75" thickBot="1" x14ac:dyDescent="0.3">
      <c r="B21" s="216"/>
      <c r="C21" s="91"/>
      <c r="D21" s="1438" t="s">
        <v>1689</v>
      </c>
      <c r="E21" s="1439"/>
      <c r="F21" s="1439"/>
      <c r="G21" s="1439"/>
      <c r="H21" s="1439"/>
      <c r="I21" s="1439"/>
      <c r="J21" s="1439"/>
      <c r="K21" s="1439"/>
      <c r="L21" s="1519"/>
    </row>
    <row r="22" spans="2:12" ht="15" customHeight="1" thickBot="1" x14ac:dyDescent="0.3">
      <c r="B22" s="216"/>
      <c r="C22" s="1485" t="s">
        <v>842</v>
      </c>
      <c r="D22" s="1423" t="s">
        <v>1118</v>
      </c>
      <c r="E22" s="1423" t="s">
        <v>1500</v>
      </c>
      <c r="F22" s="1435" t="s">
        <v>1501</v>
      </c>
      <c r="G22" s="1437"/>
      <c r="H22" s="1435" t="s">
        <v>1569</v>
      </c>
      <c r="I22" s="1436"/>
      <c r="J22" s="1436"/>
      <c r="K22" s="1437"/>
      <c r="L22" s="116"/>
    </row>
    <row r="23" spans="2:12" ht="34.5" thickBot="1" x14ac:dyDescent="0.3">
      <c r="B23" s="216"/>
      <c r="C23" s="1486"/>
      <c r="D23" s="1425"/>
      <c r="E23" s="1425"/>
      <c r="F23" s="64" t="s">
        <v>1502</v>
      </c>
      <c r="G23" s="65" t="s">
        <v>1503</v>
      </c>
      <c r="H23" s="64" t="s">
        <v>1622</v>
      </c>
      <c r="I23" s="64" t="s">
        <v>1200</v>
      </c>
      <c r="J23" s="64" t="s">
        <v>1122</v>
      </c>
      <c r="K23" s="64" t="s">
        <v>1123</v>
      </c>
      <c r="L23" s="11"/>
    </row>
    <row r="24" spans="2:12" ht="15.75" thickBot="1" x14ac:dyDescent="0.3">
      <c r="B24" s="216"/>
      <c r="C24" s="269">
        <v>1</v>
      </c>
      <c r="D24" s="592" t="s">
        <v>2231</v>
      </c>
      <c r="E24" s="595" t="s">
        <v>2232</v>
      </c>
      <c r="F24" s="589">
        <v>0.76400000000000001</v>
      </c>
      <c r="G24" s="589">
        <v>1</v>
      </c>
      <c r="H24" s="593">
        <v>1845330000</v>
      </c>
      <c r="I24" s="593">
        <f>+'Anexo 1'!AD54</f>
        <v>1845330000</v>
      </c>
      <c r="J24" s="593">
        <f>+'Anexo 1'!AG54</f>
        <v>1845241546</v>
      </c>
      <c r="K24" s="593">
        <f>+'Anexo 1'!AJ54</f>
        <v>1672704147</v>
      </c>
      <c r="L24" s="11"/>
    </row>
    <row r="25" spans="2:12" ht="15.75" thickBot="1" x14ac:dyDescent="0.3">
      <c r="B25" s="216"/>
      <c r="C25" s="269">
        <v>2</v>
      </c>
      <c r="D25" s="592"/>
      <c r="E25" s="595"/>
      <c r="F25" s="589"/>
      <c r="G25" s="589"/>
      <c r="H25" s="565"/>
      <c r="I25" s="565"/>
      <c r="J25" s="565"/>
      <c r="K25" s="565"/>
      <c r="L25" s="11"/>
    </row>
    <row r="26" spans="2:12" ht="15.75" thickBot="1" x14ac:dyDescent="0.3">
      <c r="B26" s="216"/>
      <c r="C26" s="269">
        <v>3</v>
      </c>
      <c r="D26" s="592"/>
      <c r="E26" s="595"/>
      <c r="F26" s="589"/>
      <c r="G26" s="589"/>
      <c r="H26" s="565"/>
      <c r="I26" s="565"/>
      <c r="J26" s="565"/>
      <c r="K26" s="565"/>
      <c r="L26" s="11"/>
    </row>
    <row r="27" spans="2:12" ht="15.75" thickBot="1" x14ac:dyDescent="0.3">
      <c r="B27" s="216"/>
      <c r="C27" s="269">
        <v>4</v>
      </c>
      <c r="D27" s="592"/>
      <c r="E27" s="595"/>
      <c r="F27" s="589"/>
      <c r="G27" s="589"/>
      <c r="H27" s="593"/>
      <c r="I27" s="565"/>
      <c r="J27" s="565"/>
      <c r="K27" s="565"/>
      <c r="L27" s="11"/>
    </row>
    <row r="28" spans="2:12" ht="15.75" thickBot="1" x14ac:dyDescent="0.3">
      <c r="B28" s="216"/>
      <c r="C28" s="269"/>
      <c r="D28" s="30"/>
      <c r="E28" s="29"/>
      <c r="F28" s="31"/>
      <c r="G28" s="31"/>
      <c r="H28" s="186"/>
      <c r="I28" s="186"/>
      <c r="J28" s="186"/>
      <c r="K28" s="186"/>
      <c r="L28" s="11"/>
    </row>
    <row r="29" spans="2:12" ht="15.75" thickBot="1" x14ac:dyDescent="0.3">
      <c r="B29" s="216"/>
      <c r="C29" s="269"/>
      <c r="D29" s="30"/>
      <c r="E29" s="29"/>
      <c r="F29" s="31"/>
      <c r="G29" s="31"/>
      <c r="H29" s="186"/>
      <c r="I29" s="186"/>
      <c r="J29" s="186"/>
      <c r="K29" s="186"/>
      <c r="L29" s="11"/>
    </row>
    <row r="30" spans="2:12" ht="15.75" thickBot="1" x14ac:dyDescent="0.3">
      <c r="B30" s="216"/>
      <c r="C30" s="75"/>
      <c r="D30" s="44" t="s">
        <v>1016</v>
      </c>
      <c r="E30" s="125"/>
      <c r="F30" s="126"/>
      <c r="G30" s="38"/>
      <c r="H30" s="135">
        <f>SUM(H24:H29)</f>
        <v>1845330000</v>
      </c>
      <c r="I30" s="135">
        <f>SUM(I24:I29)</f>
        <v>1845330000</v>
      </c>
      <c r="J30" s="135">
        <f>SUM(J24:J29)</f>
        <v>1845241546</v>
      </c>
      <c r="K30" s="135">
        <f>SUM(K24:K29)</f>
        <v>1672704147</v>
      </c>
      <c r="L30" s="12"/>
    </row>
    <row r="31" spans="2:12" x14ac:dyDescent="0.25">
      <c r="B31" s="216"/>
      <c r="C31" s="91"/>
      <c r="D31" s="1414" t="s">
        <v>1690</v>
      </c>
      <c r="E31" s="1415"/>
      <c r="F31" s="1415"/>
      <c r="G31" s="1415"/>
      <c r="H31" s="1415"/>
      <c r="I31" s="1415"/>
      <c r="J31" s="1415"/>
      <c r="K31" s="1415"/>
      <c r="L31" s="1517"/>
    </row>
    <row r="32" spans="2:12" ht="24" customHeight="1" thickBot="1" x14ac:dyDescent="0.3">
      <c r="B32" s="216"/>
      <c r="C32" s="91"/>
      <c r="D32" s="1414" t="s">
        <v>1691</v>
      </c>
      <c r="E32" s="1415"/>
      <c r="F32" s="1415"/>
      <c r="G32" s="1415"/>
      <c r="H32" s="1415"/>
      <c r="I32" s="1415"/>
      <c r="J32" s="1415"/>
      <c r="K32" s="1415"/>
      <c r="L32" s="1517"/>
    </row>
    <row r="33" spans="2:14" ht="15.75" thickBot="1" x14ac:dyDescent="0.3">
      <c r="B33" s="216"/>
      <c r="C33" s="1599" t="s">
        <v>842</v>
      </c>
      <c r="D33" s="1565" t="s">
        <v>1573</v>
      </c>
      <c r="E33" s="66" t="s">
        <v>1692</v>
      </c>
      <c r="F33" s="1568" t="s">
        <v>1574</v>
      </c>
      <c r="G33" s="1569"/>
      <c r="H33" s="1602" t="s">
        <v>846</v>
      </c>
      <c r="I33" s="5"/>
      <c r="J33" s="5"/>
      <c r="L33" s="21"/>
    </row>
    <row r="34" spans="2:14" x14ac:dyDescent="0.25">
      <c r="B34" s="216"/>
      <c r="C34" s="1600"/>
      <c r="D34" s="1566"/>
      <c r="E34" s="1423" t="s">
        <v>1693</v>
      </c>
      <c r="F34" s="1423" t="s">
        <v>1575</v>
      </c>
      <c r="G34" s="45" t="s">
        <v>1576</v>
      </c>
      <c r="H34" s="1603"/>
      <c r="I34" s="5"/>
      <c r="J34" s="5"/>
      <c r="L34" s="21"/>
    </row>
    <row r="35" spans="2:14" ht="24.75" thickBot="1" x14ac:dyDescent="0.3">
      <c r="B35" s="216"/>
      <c r="C35" s="1601"/>
      <c r="D35" s="1567"/>
      <c r="E35" s="1425"/>
      <c r="F35" s="1425"/>
      <c r="G35" s="40" t="s">
        <v>1570</v>
      </c>
      <c r="H35" s="1604"/>
      <c r="I35" s="5"/>
      <c r="J35" s="5"/>
      <c r="L35" s="21"/>
    </row>
    <row r="36" spans="2:14" ht="15.75" thickBot="1" x14ac:dyDescent="0.3">
      <c r="B36" s="216"/>
      <c r="C36" s="315">
        <v>1</v>
      </c>
      <c r="D36" s="338">
        <v>1</v>
      </c>
      <c r="E36" s="31">
        <v>1</v>
      </c>
      <c r="F36" s="141">
        <f t="shared" ref="F36:G41" si="0">IFERROR(J24/I24,0)</f>
        <v>0.99995206602613085</v>
      </c>
      <c r="G36" s="141">
        <f t="shared" si="0"/>
        <v>0.90649603604795492</v>
      </c>
      <c r="H36" s="30"/>
      <c r="I36" s="5"/>
      <c r="J36" s="5"/>
      <c r="L36" s="21"/>
    </row>
    <row r="37" spans="2:14" ht="15.75" thickBot="1" x14ac:dyDescent="0.3">
      <c r="B37" s="216"/>
      <c r="C37" s="315">
        <v>2</v>
      </c>
      <c r="D37" s="338"/>
      <c r="E37" s="31"/>
      <c r="F37" s="141">
        <f t="shared" si="0"/>
        <v>0</v>
      </c>
      <c r="G37" s="141">
        <f t="shared" si="0"/>
        <v>0</v>
      </c>
      <c r="H37" s="30"/>
      <c r="I37" s="5"/>
      <c r="J37" s="5"/>
      <c r="L37" s="21"/>
    </row>
    <row r="38" spans="2:14" ht="15.75" thickBot="1" x14ac:dyDescent="0.3">
      <c r="B38" s="216"/>
      <c r="C38" s="315">
        <v>3</v>
      </c>
      <c r="D38" s="338"/>
      <c r="E38" s="31"/>
      <c r="F38" s="141">
        <f t="shared" si="0"/>
        <v>0</v>
      </c>
      <c r="G38" s="141">
        <f t="shared" si="0"/>
        <v>0</v>
      </c>
      <c r="H38" s="30"/>
      <c r="I38" s="5"/>
      <c r="J38" s="5"/>
      <c r="L38" s="21"/>
    </row>
    <row r="39" spans="2:14" ht="15.75" thickBot="1" x14ac:dyDescent="0.3">
      <c r="B39" s="216"/>
      <c r="C39" s="315">
        <v>4</v>
      </c>
      <c r="D39" s="338"/>
      <c r="E39" s="31"/>
      <c r="F39" s="141">
        <f t="shared" si="0"/>
        <v>0</v>
      </c>
      <c r="G39" s="141">
        <f t="shared" si="0"/>
        <v>0</v>
      </c>
      <c r="H39" s="30"/>
      <c r="I39" s="5"/>
      <c r="J39" s="5"/>
      <c r="L39" s="21"/>
    </row>
    <row r="40" spans="2:14" ht="15.75" thickBot="1" x14ac:dyDescent="0.3">
      <c r="B40" s="216"/>
      <c r="C40" s="315">
        <v>5</v>
      </c>
      <c r="D40" s="338"/>
      <c r="E40" s="31"/>
      <c r="F40" s="141">
        <f t="shared" si="0"/>
        <v>0</v>
      </c>
      <c r="G40" s="141">
        <f t="shared" si="0"/>
        <v>0</v>
      </c>
      <c r="H40" s="30"/>
      <c r="I40" s="5"/>
      <c r="J40" s="5"/>
      <c r="L40" s="21"/>
    </row>
    <row r="41" spans="2:14" ht="15.75" thickBot="1" x14ac:dyDescent="0.3">
      <c r="B41" s="216"/>
      <c r="C41" s="315">
        <v>6</v>
      </c>
      <c r="D41" s="338"/>
      <c r="E41" s="31"/>
      <c r="F41" s="141">
        <f t="shared" si="0"/>
        <v>0</v>
      </c>
      <c r="G41" s="141">
        <f t="shared" si="0"/>
        <v>0</v>
      </c>
      <c r="H41" s="30"/>
      <c r="I41" s="5"/>
      <c r="J41" s="5"/>
      <c r="L41" s="21"/>
    </row>
    <row r="42" spans="2:14" ht="15.75" thickBot="1" x14ac:dyDescent="0.3">
      <c r="B42" s="46"/>
      <c r="C42" s="105"/>
      <c r="D42" s="195">
        <f>Formulas!$D$24</f>
        <v>1</v>
      </c>
      <c r="E42" s="203">
        <f>+D36*E36+D37*E37+D38*E38+D39*E39+D40*E40+D41*E41</f>
        <v>1</v>
      </c>
      <c r="F42" s="203">
        <f>+D36*F36+D37*F37+D38*F38+D39*F39+D40*F40+D41*F41</f>
        <v>0.99995206602613085</v>
      </c>
      <c r="G42" s="141">
        <f>Formulas!F24</f>
        <v>0.90649603604795492</v>
      </c>
      <c r="H42" s="30"/>
      <c r="I42" s="22"/>
      <c r="J42" s="22"/>
      <c r="K42" s="22"/>
      <c r="L42" s="23"/>
      <c r="N42" t="s">
        <v>1694</v>
      </c>
    </row>
    <row r="43" spans="2:14" ht="15.75" thickBot="1" x14ac:dyDescent="0.3">
      <c r="B43" s="37"/>
      <c r="C43" s="87"/>
      <c r="D43" s="5"/>
      <c r="E43" s="5"/>
      <c r="F43" s="5"/>
      <c r="G43" s="5"/>
      <c r="H43" s="5"/>
      <c r="I43" s="5"/>
      <c r="J43" s="5"/>
      <c r="K43" s="5"/>
    </row>
    <row r="44" spans="2:14" ht="108.75" thickBot="1" x14ac:dyDescent="0.3">
      <c r="B44" s="51" t="s">
        <v>924</v>
      </c>
      <c r="C44" s="97"/>
      <c r="D44" s="43" t="s">
        <v>1695</v>
      </c>
      <c r="E44" s="5"/>
      <c r="F44" s="5"/>
      <c r="G44" s="5"/>
      <c r="H44" s="5"/>
      <c r="I44" s="5"/>
      <c r="J44" s="5"/>
      <c r="K44" s="5"/>
    </row>
    <row r="45" spans="2:14" ht="48.6" customHeight="1" thickBot="1" x14ac:dyDescent="0.3">
      <c r="B45" s="46" t="s">
        <v>926</v>
      </c>
      <c r="C45" s="2"/>
      <c r="D45" s="40" t="s">
        <v>1202</v>
      </c>
      <c r="E45" s="5"/>
      <c r="F45" s="5"/>
      <c r="G45" s="5"/>
      <c r="H45" s="5"/>
      <c r="I45" s="5"/>
      <c r="J45" s="5"/>
      <c r="K45" s="5"/>
    </row>
    <row r="46" spans="2:14" ht="15.75" thickBot="1" x14ac:dyDescent="0.3">
      <c r="B46" s="1"/>
      <c r="C46" s="75"/>
      <c r="D46" s="5"/>
      <c r="E46" s="5"/>
      <c r="F46" s="5"/>
      <c r="G46" s="5"/>
      <c r="H46" s="5"/>
      <c r="I46" s="5"/>
      <c r="J46" s="5"/>
      <c r="K46" s="5"/>
    </row>
    <row r="47" spans="2:14" ht="24" customHeight="1" thickBot="1" x14ac:dyDescent="0.3">
      <c r="B47" s="1426" t="s">
        <v>928</v>
      </c>
      <c r="C47" s="1427"/>
      <c r="D47" s="1427"/>
      <c r="E47" s="1428"/>
      <c r="F47" s="5"/>
      <c r="G47" s="5"/>
      <c r="H47" s="5"/>
      <c r="I47" s="5"/>
      <c r="J47" s="5"/>
      <c r="K47" s="5"/>
    </row>
    <row r="48" spans="2:14" ht="15.75" thickBot="1" x14ac:dyDescent="0.3">
      <c r="B48" s="1423">
        <v>1</v>
      </c>
      <c r="C48" s="93"/>
      <c r="D48" s="47" t="s">
        <v>929</v>
      </c>
      <c r="E48" s="160" t="s">
        <v>2093</v>
      </c>
      <c r="F48" s="5"/>
      <c r="G48" s="5"/>
      <c r="H48" s="5"/>
      <c r="I48" s="5"/>
      <c r="J48" s="5"/>
      <c r="K48" s="5"/>
    </row>
    <row r="49" spans="2:11" ht="15.75" thickBot="1" x14ac:dyDescent="0.3">
      <c r="B49" s="1424"/>
      <c r="C49" s="93"/>
      <c r="D49" s="40" t="s">
        <v>7</v>
      </c>
      <c r="E49" s="160" t="s">
        <v>2098</v>
      </c>
      <c r="F49" s="5"/>
      <c r="G49" s="5"/>
      <c r="H49" s="5"/>
      <c r="I49" s="5"/>
      <c r="J49" s="5"/>
      <c r="K49" s="5"/>
    </row>
    <row r="50" spans="2:11" ht="15.75" thickBot="1" x14ac:dyDescent="0.3">
      <c r="B50" s="1424"/>
      <c r="C50" s="93"/>
      <c r="D50" s="40" t="s">
        <v>930</v>
      </c>
      <c r="E50" s="160" t="s">
        <v>2126</v>
      </c>
      <c r="F50" s="5"/>
      <c r="G50" s="5"/>
      <c r="H50" s="5"/>
      <c r="I50" s="5"/>
      <c r="J50" s="5"/>
      <c r="K50" s="5"/>
    </row>
    <row r="51" spans="2:11" ht="15.75" thickBot="1" x14ac:dyDescent="0.3">
      <c r="B51" s="1424"/>
      <c r="C51" s="93"/>
      <c r="D51" s="40" t="s">
        <v>9</v>
      </c>
      <c r="E51" s="160" t="s">
        <v>2122</v>
      </c>
      <c r="F51" s="5"/>
      <c r="G51" s="5"/>
      <c r="H51" s="5"/>
      <c r="I51" s="5"/>
      <c r="J51" s="5"/>
      <c r="K51" s="5"/>
    </row>
    <row r="52" spans="2:11" ht="15.75" thickBot="1" x14ac:dyDescent="0.3">
      <c r="B52" s="1424"/>
      <c r="C52" s="93"/>
      <c r="D52" s="40" t="s">
        <v>11</v>
      </c>
      <c r="E52" s="569" t="s">
        <v>2127</v>
      </c>
      <c r="F52" s="5"/>
      <c r="G52" s="5"/>
      <c r="H52" s="5"/>
      <c r="I52" s="5"/>
      <c r="J52" s="5"/>
      <c r="K52" s="5"/>
    </row>
    <row r="53" spans="2:11" ht="15.75" thickBot="1" x14ac:dyDescent="0.3">
      <c r="B53" s="1424"/>
      <c r="C53" s="93"/>
      <c r="D53" s="40" t="s">
        <v>13</v>
      </c>
      <c r="E53" s="160">
        <v>6695278</v>
      </c>
      <c r="F53" s="5"/>
      <c r="G53" s="5"/>
      <c r="H53" s="5"/>
      <c r="I53" s="5"/>
      <c r="J53" s="5"/>
      <c r="K53" s="5"/>
    </row>
    <row r="54" spans="2:11" ht="15.75" thickBot="1" x14ac:dyDescent="0.3">
      <c r="B54" s="1425"/>
      <c r="C54" s="2"/>
      <c r="D54" s="40" t="s">
        <v>931</v>
      </c>
      <c r="E54" s="160" t="s">
        <v>2097</v>
      </c>
      <c r="F54" s="5"/>
      <c r="G54" s="5"/>
      <c r="H54" s="5"/>
      <c r="I54" s="5"/>
      <c r="J54" s="5"/>
      <c r="K54" s="5"/>
    </row>
    <row r="55" spans="2:11" ht="15.75" thickBot="1" x14ac:dyDescent="0.3">
      <c r="B55" s="1"/>
      <c r="C55" s="75"/>
      <c r="D55" s="5"/>
      <c r="E55" s="5"/>
      <c r="F55" s="5"/>
      <c r="G55" s="5"/>
      <c r="H55" s="5"/>
      <c r="I55" s="5"/>
      <c r="J55" s="5"/>
      <c r="K55" s="5"/>
    </row>
    <row r="56" spans="2:11" ht="15.75" thickBot="1" x14ac:dyDescent="0.3">
      <c r="B56" s="1426" t="s">
        <v>932</v>
      </c>
      <c r="C56" s="1427"/>
      <c r="D56" s="1427"/>
      <c r="E56" s="1428"/>
      <c r="F56" s="5"/>
      <c r="G56" s="5"/>
      <c r="H56" s="5"/>
      <c r="I56" s="5"/>
      <c r="J56" s="5"/>
      <c r="K56" s="5"/>
    </row>
    <row r="57" spans="2:11" ht="15.75" thickBot="1" x14ac:dyDescent="0.3">
      <c r="B57" s="1423">
        <v>1</v>
      </c>
      <c r="C57" s="93"/>
      <c r="D57" s="47" t="s">
        <v>929</v>
      </c>
      <c r="E57" s="217" t="s">
        <v>933</v>
      </c>
      <c r="F57" s="5"/>
      <c r="G57" s="5"/>
      <c r="H57" s="5"/>
      <c r="I57" s="5"/>
      <c r="J57" s="5"/>
      <c r="K57" s="5"/>
    </row>
    <row r="58" spans="2:11" ht="15.75" thickBot="1" x14ac:dyDescent="0.3">
      <c r="B58" s="1424"/>
      <c r="C58" s="93"/>
      <c r="D58" s="40" t="s">
        <v>7</v>
      </c>
      <c r="E58" s="217" t="s">
        <v>1025</v>
      </c>
      <c r="F58" s="5"/>
      <c r="G58" s="5"/>
      <c r="H58" s="5"/>
      <c r="I58" s="5"/>
      <c r="J58" s="5"/>
      <c r="K58" s="5"/>
    </row>
    <row r="59" spans="2:11" ht="15.75" thickBot="1" x14ac:dyDescent="0.3">
      <c r="B59" s="1424"/>
      <c r="C59" s="93"/>
      <c r="D59" s="40" t="s">
        <v>930</v>
      </c>
      <c r="E59" s="165"/>
      <c r="F59" s="5"/>
      <c r="G59" s="5"/>
      <c r="H59" s="5"/>
      <c r="I59" s="5"/>
      <c r="J59" s="5"/>
      <c r="K59" s="5"/>
    </row>
    <row r="60" spans="2:11" ht="15.75" thickBot="1" x14ac:dyDescent="0.3">
      <c r="B60" s="1424"/>
      <c r="C60" s="93"/>
      <c r="D60" s="40" t="s">
        <v>9</v>
      </c>
      <c r="E60" s="165"/>
      <c r="F60" s="5"/>
      <c r="G60" s="5"/>
      <c r="H60" s="5"/>
      <c r="I60" s="5"/>
      <c r="J60" s="5"/>
      <c r="K60" s="5"/>
    </row>
    <row r="61" spans="2:11" ht="15.75" thickBot="1" x14ac:dyDescent="0.3">
      <c r="B61" s="1424"/>
      <c r="C61" s="93"/>
      <c r="D61" s="40" t="s">
        <v>11</v>
      </c>
      <c r="E61" s="165"/>
      <c r="F61" s="5"/>
      <c r="G61" s="5"/>
      <c r="H61" s="5"/>
      <c r="I61" s="5"/>
      <c r="J61" s="5"/>
      <c r="K61" s="5"/>
    </row>
    <row r="62" spans="2:11" ht="15.75" thickBot="1" x14ac:dyDescent="0.3">
      <c r="B62" s="1424"/>
      <c r="C62" s="93"/>
      <c r="D62" s="40" t="s">
        <v>13</v>
      </c>
      <c r="E62" s="165"/>
      <c r="F62" s="5"/>
      <c r="G62" s="5"/>
      <c r="H62" s="5"/>
      <c r="I62" s="5"/>
      <c r="J62" s="5"/>
      <c r="K62" s="5"/>
    </row>
    <row r="63" spans="2:11" ht="15.75" thickBot="1" x14ac:dyDescent="0.3">
      <c r="B63" s="1425"/>
      <c r="C63" s="2"/>
      <c r="D63" s="40" t="s">
        <v>931</v>
      </c>
      <c r="E63" s="165"/>
      <c r="F63" s="5"/>
      <c r="G63" s="5"/>
      <c r="H63" s="5"/>
      <c r="I63" s="5"/>
      <c r="J63" s="5"/>
      <c r="K63" s="5"/>
    </row>
    <row r="64" spans="2:11" ht="15.75" thickBot="1" x14ac:dyDescent="0.3">
      <c r="B64" s="1"/>
      <c r="C64" s="75"/>
      <c r="D64" s="5"/>
      <c r="E64" s="5"/>
      <c r="F64" s="5"/>
      <c r="G64" s="5"/>
      <c r="H64" s="5"/>
      <c r="I64" s="5"/>
      <c r="J64" s="5"/>
      <c r="K64" s="5"/>
    </row>
    <row r="65" spans="2:11" ht="15" customHeight="1" thickBot="1" x14ac:dyDescent="0.3">
      <c r="B65" s="121" t="s">
        <v>935</v>
      </c>
      <c r="C65" s="122"/>
      <c r="D65" s="122"/>
      <c r="E65" s="123"/>
      <c r="G65" s="5"/>
      <c r="H65" s="5"/>
      <c r="I65" s="5"/>
      <c r="J65" s="5"/>
      <c r="K65" s="5"/>
    </row>
    <row r="66" spans="2:11" ht="24.75" thickBot="1" x14ac:dyDescent="0.3">
      <c r="B66" s="46" t="s">
        <v>936</v>
      </c>
      <c r="C66" s="40" t="s">
        <v>937</v>
      </c>
      <c r="D66" s="40" t="s">
        <v>938</v>
      </c>
      <c r="E66" s="40" t="s">
        <v>939</v>
      </c>
      <c r="F66" s="5"/>
      <c r="G66" s="5"/>
      <c r="H66" s="5"/>
      <c r="I66" s="5"/>
      <c r="J66" s="5"/>
    </row>
    <row r="67" spans="2:11" ht="72.75" thickBot="1" x14ac:dyDescent="0.3">
      <c r="B67" s="48">
        <v>42401</v>
      </c>
      <c r="C67" s="40">
        <v>0.01</v>
      </c>
      <c r="D67" s="49" t="s">
        <v>1696</v>
      </c>
      <c r="E67" s="40"/>
      <c r="F67" s="5"/>
      <c r="G67" s="5"/>
      <c r="H67" s="5"/>
      <c r="I67" s="5"/>
      <c r="J67" s="5"/>
    </row>
    <row r="68" spans="2:11" ht="15.75" thickBot="1" x14ac:dyDescent="0.3">
      <c r="B68" s="3"/>
      <c r="C68" s="94"/>
      <c r="D68" s="5"/>
      <c r="E68" s="5"/>
      <c r="F68" s="5"/>
      <c r="G68" s="5"/>
      <c r="H68" s="5"/>
      <c r="I68" s="5"/>
      <c r="J68" s="5"/>
      <c r="K68" s="5"/>
    </row>
    <row r="69" spans="2:11" ht="15.75" thickBot="1" x14ac:dyDescent="0.3">
      <c r="B69" s="339" t="s">
        <v>846</v>
      </c>
      <c r="C69" s="95"/>
      <c r="D69" s="5"/>
      <c r="E69" s="5"/>
      <c r="F69" s="5"/>
      <c r="G69" s="5"/>
      <c r="H69" s="5"/>
      <c r="I69" s="5"/>
      <c r="J69" s="5"/>
      <c r="K69" s="5"/>
    </row>
    <row r="70" spans="2:11" x14ac:dyDescent="0.25">
      <c r="B70" s="1593"/>
      <c r="C70" s="1594"/>
      <c r="D70" s="1594"/>
      <c r="E70" s="1595"/>
      <c r="F70" s="5"/>
      <c r="G70" s="5"/>
      <c r="H70" s="5"/>
      <c r="I70" s="5"/>
      <c r="J70" s="5"/>
      <c r="K70" s="5"/>
    </row>
    <row r="71" spans="2:11" ht="15.75" thickBot="1" x14ac:dyDescent="0.3">
      <c r="B71" s="1596"/>
      <c r="C71" s="1597"/>
      <c r="D71" s="1597"/>
      <c r="E71" s="1598"/>
      <c r="F71" s="5"/>
      <c r="G71" s="5"/>
      <c r="H71" s="5"/>
      <c r="I71" s="5"/>
      <c r="J71" s="5"/>
      <c r="K71" s="5"/>
    </row>
    <row r="72" spans="2:11" x14ac:dyDescent="0.25">
      <c r="B72" s="1"/>
      <c r="C72" s="75"/>
      <c r="D72" s="5"/>
      <c r="E72" s="5"/>
      <c r="F72" s="5"/>
      <c r="G72" s="5"/>
      <c r="H72" s="5"/>
      <c r="I72" s="5"/>
      <c r="J72" s="5"/>
      <c r="K72" s="5"/>
    </row>
    <row r="73" spans="2:11" ht="15.75" thickBot="1" x14ac:dyDescent="0.3">
      <c r="B73" s="5"/>
      <c r="D73" s="5"/>
      <c r="E73" s="5"/>
      <c r="F73" s="5"/>
      <c r="G73" s="5"/>
      <c r="H73" s="5"/>
      <c r="I73" s="5"/>
      <c r="J73" s="5"/>
      <c r="K73" s="5"/>
    </row>
    <row r="74" spans="2:11" ht="24.75" thickBot="1" x14ac:dyDescent="0.3">
      <c r="B74" s="50" t="s">
        <v>941</v>
      </c>
      <c r="C74" s="96"/>
      <c r="D74" s="5"/>
      <c r="E74" s="5"/>
      <c r="F74" s="5"/>
      <c r="G74" s="5"/>
      <c r="H74" s="5"/>
      <c r="I74" s="5"/>
      <c r="J74" s="5"/>
      <c r="K74" s="5"/>
    </row>
    <row r="75" spans="2:11" ht="15.75" thickBot="1" x14ac:dyDescent="0.3">
      <c r="B75" s="37"/>
      <c r="C75" s="87"/>
      <c r="D75" s="5"/>
      <c r="E75" s="5"/>
      <c r="F75" s="5"/>
      <c r="G75" s="5"/>
      <c r="H75" s="5"/>
      <c r="I75" s="5"/>
      <c r="J75" s="5"/>
      <c r="K75" s="5"/>
    </row>
    <row r="76" spans="2:11" ht="48.75" thickBot="1" x14ac:dyDescent="0.3">
      <c r="B76" s="51" t="s">
        <v>942</v>
      </c>
      <c r="C76" s="97"/>
      <c r="D76" s="43" t="s">
        <v>1697</v>
      </c>
      <c r="E76" s="5"/>
      <c r="F76" s="5"/>
      <c r="G76" s="5"/>
      <c r="H76" s="5"/>
      <c r="I76" s="5"/>
      <c r="J76" s="5"/>
      <c r="K76" s="5"/>
    </row>
    <row r="77" spans="2:11" x14ac:dyDescent="0.25">
      <c r="B77" s="1423" t="s">
        <v>944</v>
      </c>
      <c r="C77" s="93"/>
      <c r="D77" s="52" t="s">
        <v>945</v>
      </c>
      <c r="E77" s="5"/>
      <c r="F77" s="5"/>
      <c r="G77" s="5"/>
      <c r="H77" s="5"/>
      <c r="I77" s="5"/>
      <c r="J77" s="5"/>
      <c r="K77" s="5"/>
    </row>
    <row r="78" spans="2:11" ht="108" x14ac:dyDescent="0.25">
      <c r="B78" s="1424"/>
      <c r="C78" s="93"/>
      <c r="D78" s="45" t="s">
        <v>1698</v>
      </c>
      <c r="E78" s="5"/>
      <c r="F78" s="5"/>
      <c r="G78" s="5"/>
      <c r="H78" s="5"/>
      <c r="I78" s="5"/>
      <c r="J78" s="5"/>
      <c r="K78" s="5"/>
    </row>
    <row r="79" spans="2:11" x14ac:dyDescent="0.25">
      <c r="B79" s="1424"/>
      <c r="C79" s="93"/>
      <c r="D79" s="45" t="s">
        <v>1699</v>
      </c>
      <c r="E79" s="5"/>
      <c r="F79" s="5"/>
      <c r="G79" s="5"/>
      <c r="H79" s="5"/>
      <c r="I79" s="5"/>
      <c r="J79" s="5"/>
      <c r="K79" s="5"/>
    </row>
    <row r="80" spans="2:11" ht="24" x14ac:dyDescent="0.25">
      <c r="B80" s="1424"/>
      <c r="C80" s="93"/>
      <c r="D80" s="45" t="s">
        <v>1700</v>
      </c>
      <c r="E80" s="5"/>
      <c r="F80" s="5"/>
      <c r="G80" s="5"/>
      <c r="H80" s="5"/>
      <c r="I80" s="5"/>
      <c r="J80" s="5"/>
      <c r="K80" s="5"/>
    </row>
    <row r="81" spans="2:11" ht="24" x14ac:dyDescent="0.25">
      <c r="B81" s="1424"/>
      <c r="C81" s="93"/>
      <c r="D81" s="45" t="s">
        <v>1701</v>
      </c>
      <c r="E81" s="5"/>
      <c r="F81" s="5"/>
      <c r="G81" s="5"/>
      <c r="H81" s="5"/>
      <c r="I81" s="5"/>
      <c r="J81" s="5"/>
      <c r="K81" s="5"/>
    </row>
    <row r="82" spans="2:11" x14ac:dyDescent="0.25">
      <c r="B82" s="1424"/>
      <c r="C82" s="93"/>
      <c r="D82" s="52" t="s">
        <v>1172</v>
      </c>
      <c r="E82" s="5"/>
      <c r="F82" s="5"/>
      <c r="G82" s="5"/>
      <c r="H82" s="5"/>
      <c r="I82" s="5"/>
      <c r="J82" s="5"/>
      <c r="K82" s="5"/>
    </row>
    <row r="83" spans="2:11" ht="24" x14ac:dyDescent="0.25">
      <c r="B83" s="1424"/>
      <c r="C83" s="93"/>
      <c r="D83" s="45" t="s">
        <v>1702</v>
      </c>
      <c r="E83" s="5"/>
      <c r="F83" s="5"/>
      <c r="G83" s="5"/>
      <c r="H83" s="5"/>
      <c r="I83" s="5"/>
      <c r="J83" s="5"/>
      <c r="K83" s="5"/>
    </row>
    <row r="84" spans="2:11" x14ac:dyDescent="0.25">
      <c r="B84" s="1424"/>
      <c r="C84" s="93"/>
      <c r="D84" s="45" t="s">
        <v>1703</v>
      </c>
      <c r="E84" s="5"/>
      <c r="F84" s="5"/>
      <c r="G84" s="5"/>
      <c r="H84" s="5"/>
      <c r="I84" s="5"/>
      <c r="J84" s="5"/>
      <c r="K84" s="5"/>
    </row>
    <row r="85" spans="2:11" ht="36" x14ac:dyDescent="0.25">
      <c r="B85" s="1424"/>
      <c r="C85" s="93"/>
      <c r="D85" s="45" t="s">
        <v>1704</v>
      </c>
      <c r="E85" s="5"/>
      <c r="F85" s="5"/>
      <c r="G85" s="5"/>
      <c r="H85" s="5"/>
      <c r="I85" s="5"/>
      <c r="J85" s="5"/>
      <c r="K85" s="5"/>
    </row>
    <row r="86" spans="2:11" ht="36" x14ac:dyDescent="0.25">
      <c r="B86" s="1424"/>
      <c r="C86" s="93"/>
      <c r="D86" s="45" t="s">
        <v>1705</v>
      </c>
      <c r="E86" s="5"/>
      <c r="F86" s="5"/>
      <c r="G86" s="5"/>
      <c r="H86" s="5"/>
      <c r="I86" s="5"/>
      <c r="J86" s="5"/>
      <c r="K86" s="5"/>
    </row>
    <row r="87" spans="2:11" ht="24" x14ac:dyDescent="0.25">
      <c r="B87" s="1424"/>
      <c r="C87" s="93"/>
      <c r="D87" s="45" t="s">
        <v>1706</v>
      </c>
      <c r="E87" s="5"/>
      <c r="F87" s="5"/>
      <c r="G87" s="5"/>
      <c r="H87" s="5"/>
      <c r="I87" s="5"/>
      <c r="J87" s="5"/>
      <c r="K87" s="5"/>
    </row>
    <row r="88" spans="2:11" ht="48" x14ac:dyDescent="0.25">
      <c r="B88" s="1424"/>
      <c r="C88" s="93"/>
      <c r="D88" s="45" t="s">
        <v>1707</v>
      </c>
      <c r="E88" s="5"/>
      <c r="F88" s="5"/>
      <c r="G88" s="5"/>
      <c r="H88" s="5"/>
      <c r="I88" s="5"/>
      <c r="J88" s="5"/>
      <c r="K88" s="5"/>
    </row>
    <row r="89" spans="2:11" ht="36" x14ac:dyDescent="0.25">
      <c r="B89" s="1424"/>
      <c r="C89" s="93"/>
      <c r="D89" s="45" t="s">
        <v>1708</v>
      </c>
      <c r="E89" s="5"/>
      <c r="F89" s="5"/>
      <c r="G89" s="5"/>
      <c r="H89" s="5"/>
      <c r="I89" s="5"/>
      <c r="J89" s="5"/>
      <c r="K89" s="5"/>
    </row>
    <row r="90" spans="2:11" ht="24" x14ac:dyDescent="0.25">
      <c r="B90" s="1424"/>
      <c r="C90" s="93"/>
      <c r="D90" s="45" t="s">
        <v>1709</v>
      </c>
      <c r="E90" s="5"/>
      <c r="F90" s="5"/>
      <c r="G90" s="5"/>
      <c r="H90" s="5"/>
      <c r="I90" s="5"/>
      <c r="J90" s="5"/>
      <c r="K90" s="5"/>
    </row>
    <row r="91" spans="2:11" ht="24" x14ac:dyDescent="0.25">
      <c r="B91" s="1424"/>
      <c r="C91" s="93"/>
      <c r="D91" s="45" t="s">
        <v>1710</v>
      </c>
      <c r="E91" s="5"/>
      <c r="F91" s="5"/>
      <c r="G91" s="5"/>
      <c r="H91" s="5"/>
      <c r="I91" s="5"/>
      <c r="J91" s="5"/>
      <c r="K91" s="5"/>
    </row>
    <row r="92" spans="2:11" ht="60.75" thickBot="1" x14ac:dyDescent="0.3">
      <c r="B92" s="1425"/>
      <c r="C92" s="2"/>
      <c r="D92" s="55" t="s">
        <v>1711</v>
      </c>
      <c r="E92" s="5"/>
      <c r="F92" s="5"/>
      <c r="G92" s="5"/>
      <c r="H92" s="5"/>
      <c r="I92" s="5"/>
      <c r="J92" s="5"/>
      <c r="K92" s="5"/>
    </row>
    <row r="93" spans="2:11" x14ac:dyDescent="0.25">
      <c r="B93" s="1423" t="s">
        <v>957</v>
      </c>
      <c r="C93" s="98"/>
      <c r="D93" s="1423"/>
      <c r="E93" s="5"/>
      <c r="F93" s="5"/>
      <c r="G93" s="5"/>
      <c r="H93" s="5"/>
      <c r="I93" s="5"/>
      <c r="J93" s="5"/>
      <c r="K93" s="5"/>
    </row>
    <row r="94" spans="2:11" ht="15.75" thickBot="1" x14ac:dyDescent="0.3">
      <c r="B94" s="1425"/>
      <c r="C94" s="99"/>
      <c r="D94" s="1425"/>
      <c r="E94" s="5"/>
      <c r="F94" s="5"/>
      <c r="G94" s="5"/>
      <c r="H94" s="5"/>
      <c r="I94" s="5"/>
      <c r="J94" s="5"/>
      <c r="K94" s="5"/>
    </row>
    <row r="95" spans="2:11" ht="144" x14ac:dyDescent="0.25">
      <c r="B95" s="1423" t="s">
        <v>958</v>
      </c>
      <c r="C95" s="93"/>
      <c r="D95" s="45" t="s">
        <v>1712</v>
      </c>
      <c r="E95" s="5"/>
      <c r="F95" s="5"/>
      <c r="G95" s="5"/>
      <c r="H95" s="5"/>
      <c r="I95" s="5"/>
      <c r="J95" s="5"/>
      <c r="K95" s="5"/>
    </row>
    <row r="96" spans="2:11" ht="192" x14ac:dyDescent="0.25">
      <c r="B96" s="1424"/>
      <c r="C96" s="93"/>
      <c r="D96" s="45" t="s">
        <v>1713</v>
      </c>
      <c r="E96" s="5"/>
      <c r="F96" s="5"/>
      <c r="G96" s="5"/>
      <c r="H96" s="5"/>
      <c r="I96" s="5"/>
      <c r="J96" s="5"/>
      <c r="K96" s="5"/>
    </row>
    <row r="97" spans="2:11" ht="36" x14ac:dyDescent="0.25">
      <c r="B97" s="1424"/>
      <c r="C97" s="93"/>
      <c r="D97" s="45" t="s">
        <v>1714</v>
      </c>
      <c r="E97" s="5"/>
      <c r="F97" s="5"/>
      <c r="G97" s="5"/>
      <c r="H97" s="5"/>
      <c r="I97" s="5"/>
      <c r="J97" s="5"/>
      <c r="K97" s="5"/>
    </row>
    <row r="98" spans="2:11" ht="36" x14ac:dyDescent="0.25">
      <c r="B98" s="1424"/>
      <c r="C98" s="93"/>
      <c r="D98" s="45" t="s">
        <v>1715</v>
      </c>
      <c r="E98" s="5"/>
      <c r="F98" s="5"/>
      <c r="G98" s="5"/>
      <c r="H98" s="5"/>
      <c r="I98" s="5"/>
      <c r="J98" s="5"/>
      <c r="K98" s="5"/>
    </row>
    <row r="99" spans="2:11" ht="36" x14ac:dyDescent="0.25">
      <c r="B99" s="1424"/>
      <c r="C99" s="93"/>
      <c r="D99" s="45" t="s">
        <v>1716</v>
      </c>
      <c r="E99" s="5"/>
      <c r="F99" s="5"/>
      <c r="G99" s="5"/>
      <c r="H99" s="5"/>
      <c r="I99" s="5"/>
      <c r="J99" s="5"/>
      <c r="K99" s="5"/>
    </row>
    <row r="100" spans="2:11" ht="48" x14ac:dyDescent="0.25">
      <c r="B100" s="1424"/>
      <c r="C100" s="93"/>
      <c r="D100" s="45" t="s">
        <v>1717</v>
      </c>
      <c r="E100" s="5"/>
      <c r="F100" s="5"/>
      <c r="G100" s="5"/>
      <c r="H100" s="5"/>
      <c r="I100" s="5"/>
      <c r="J100" s="5"/>
      <c r="K100" s="5"/>
    </row>
    <row r="101" spans="2:11" ht="48" x14ac:dyDescent="0.25">
      <c r="B101" s="1424"/>
      <c r="C101" s="93"/>
      <c r="D101" s="45" t="s">
        <v>1718</v>
      </c>
      <c r="E101" s="5"/>
      <c r="F101" s="5"/>
      <c r="G101" s="5"/>
      <c r="H101" s="5"/>
      <c r="I101" s="5"/>
      <c r="J101" s="5"/>
      <c r="K101" s="5"/>
    </row>
    <row r="102" spans="2:11" ht="36" x14ac:dyDescent="0.25">
      <c r="B102" s="1424"/>
      <c r="C102" s="93"/>
      <c r="D102" s="25" t="s">
        <v>1719</v>
      </c>
      <c r="E102" s="5"/>
      <c r="F102" s="5"/>
      <c r="G102" s="5"/>
      <c r="H102" s="5"/>
      <c r="I102" s="5"/>
      <c r="J102" s="5"/>
      <c r="K102" s="5"/>
    </row>
    <row r="103" spans="2:11" ht="36" x14ac:dyDescent="0.25">
      <c r="B103" s="1424"/>
      <c r="C103" s="93"/>
      <c r="D103" s="25" t="s">
        <v>1720</v>
      </c>
      <c r="E103" s="5"/>
      <c r="F103" s="5"/>
      <c r="G103" s="5"/>
      <c r="H103" s="5"/>
      <c r="I103" s="5"/>
      <c r="J103" s="5"/>
      <c r="K103" s="5"/>
    </row>
    <row r="104" spans="2:11" ht="24" x14ac:dyDescent="0.25">
      <c r="B104" s="1424"/>
      <c r="C104" s="93"/>
      <c r="D104" s="25" t="s">
        <v>1721</v>
      </c>
      <c r="E104" s="5"/>
      <c r="F104" s="5"/>
      <c r="G104" s="5"/>
      <c r="H104" s="5"/>
      <c r="I104" s="5"/>
      <c r="J104" s="5"/>
      <c r="K104" s="5"/>
    </row>
    <row r="105" spans="2:11" ht="24" x14ac:dyDescent="0.25">
      <c r="B105" s="1424"/>
      <c r="C105" s="93"/>
      <c r="D105" s="25" t="s">
        <v>1722</v>
      </c>
      <c r="E105" s="5"/>
      <c r="F105" s="5"/>
      <c r="G105" s="5"/>
      <c r="H105" s="5"/>
      <c r="I105" s="5"/>
      <c r="J105" s="5"/>
      <c r="K105" s="5"/>
    </row>
    <row r="106" spans="2:11" ht="60" x14ac:dyDescent="0.25">
      <c r="B106" s="1424"/>
      <c r="C106" s="93"/>
      <c r="D106" s="25" t="s">
        <v>1723</v>
      </c>
      <c r="E106" s="5"/>
      <c r="F106" s="5"/>
      <c r="G106" s="5"/>
      <c r="H106" s="5"/>
      <c r="I106" s="5"/>
      <c r="J106" s="5"/>
      <c r="K106" s="5"/>
    </row>
    <row r="107" spans="2:11" ht="36" x14ac:dyDescent="0.25">
      <c r="B107" s="1424"/>
      <c r="C107" s="93"/>
      <c r="D107" s="25" t="s">
        <v>1724</v>
      </c>
      <c r="E107" s="5"/>
      <c r="F107" s="5"/>
      <c r="G107" s="5"/>
      <c r="H107" s="5"/>
      <c r="I107" s="5"/>
      <c r="J107" s="5"/>
      <c r="K107" s="5"/>
    </row>
    <row r="108" spans="2:11" ht="36" x14ac:dyDescent="0.25">
      <c r="B108" s="1424"/>
      <c r="C108" s="93"/>
      <c r="D108" s="25" t="s">
        <v>1725</v>
      </c>
      <c r="E108" s="5"/>
      <c r="F108" s="5"/>
      <c r="G108" s="5"/>
      <c r="H108" s="5"/>
      <c r="I108" s="5"/>
      <c r="J108" s="5"/>
      <c r="K108" s="5"/>
    </row>
    <row r="109" spans="2:11" ht="60" x14ac:dyDescent="0.25">
      <c r="B109" s="1424"/>
      <c r="C109" s="93"/>
      <c r="D109" s="25" t="s">
        <v>1726</v>
      </c>
      <c r="E109" s="5"/>
      <c r="F109" s="5"/>
      <c r="G109" s="5"/>
      <c r="H109" s="5"/>
      <c r="I109" s="5"/>
      <c r="J109" s="5"/>
      <c r="K109" s="5"/>
    </row>
    <row r="110" spans="2:11" ht="24" x14ac:dyDescent="0.25">
      <c r="B110" s="1424"/>
      <c r="C110" s="93"/>
      <c r="D110" s="25" t="s">
        <v>1727</v>
      </c>
      <c r="E110" s="5"/>
      <c r="F110" s="5"/>
      <c r="G110" s="5"/>
      <c r="H110" s="5"/>
      <c r="I110" s="5"/>
      <c r="J110" s="5"/>
      <c r="K110" s="5"/>
    </row>
    <row r="111" spans="2:11" ht="24" x14ac:dyDescent="0.25">
      <c r="B111" s="1424"/>
      <c r="C111" s="93"/>
      <c r="D111" s="25" t="s">
        <v>1728</v>
      </c>
      <c r="E111" s="5"/>
      <c r="F111" s="5"/>
      <c r="G111" s="5"/>
      <c r="H111" s="5"/>
      <c r="I111" s="5"/>
      <c r="J111" s="5"/>
      <c r="K111" s="5"/>
    </row>
    <row r="112" spans="2:11" x14ac:dyDescent="0.25">
      <c r="B112" s="1424"/>
      <c r="C112" s="93"/>
      <c r="D112" s="25" t="s">
        <v>1729</v>
      </c>
      <c r="E112" s="5"/>
      <c r="F112" s="5"/>
      <c r="G112" s="5"/>
      <c r="H112" s="5"/>
      <c r="I112" s="5"/>
      <c r="J112" s="5"/>
      <c r="K112" s="5"/>
    </row>
    <row r="113" spans="2:11" ht="36" x14ac:dyDescent="0.25">
      <c r="B113" s="1424"/>
      <c r="C113" s="93"/>
      <c r="D113" s="25" t="s">
        <v>1730</v>
      </c>
      <c r="E113" s="5"/>
      <c r="F113" s="5"/>
      <c r="G113" s="5"/>
      <c r="H113" s="5"/>
      <c r="I113" s="5"/>
      <c r="J113" s="5"/>
      <c r="K113" s="5"/>
    </row>
    <row r="114" spans="2:11" ht="36" x14ac:dyDescent="0.25">
      <c r="B114" s="1424"/>
      <c r="C114" s="93"/>
      <c r="D114" s="25" t="s">
        <v>1731</v>
      </c>
      <c r="E114" s="5"/>
      <c r="F114" s="5"/>
      <c r="G114" s="5"/>
      <c r="H114" s="5"/>
      <c r="I114" s="5"/>
      <c r="J114" s="5"/>
      <c r="K114" s="5"/>
    </row>
    <row r="115" spans="2:11" ht="36" x14ac:dyDescent="0.25">
      <c r="B115" s="1424"/>
      <c r="C115" s="93"/>
      <c r="D115" s="25" t="s">
        <v>1732</v>
      </c>
      <c r="E115" s="5"/>
      <c r="F115" s="5"/>
      <c r="G115" s="5"/>
      <c r="H115" s="5"/>
      <c r="I115" s="5"/>
      <c r="J115" s="5"/>
      <c r="K115" s="5"/>
    </row>
    <row r="116" spans="2:11" ht="252" x14ac:dyDescent="0.25">
      <c r="B116" s="1424"/>
      <c r="C116" s="93"/>
      <c r="D116" s="45" t="s">
        <v>1733</v>
      </c>
      <c r="E116" s="5"/>
      <c r="F116" s="5"/>
      <c r="G116" s="5"/>
      <c r="H116" s="5"/>
      <c r="I116" s="5"/>
      <c r="J116" s="5"/>
      <c r="K116" s="5"/>
    </row>
    <row r="117" spans="2:11" ht="60.75" thickBot="1" x14ac:dyDescent="0.3">
      <c r="B117" s="1425"/>
      <c r="C117" s="2"/>
      <c r="D117" s="40" t="s">
        <v>1734</v>
      </c>
      <c r="E117" s="5"/>
      <c r="F117" s="5"/>
      <c r="G117" s="5"/>
      <c r="H117" s="5"/>
      <c r="I117" s="5"/>
      <c r="J117" s="5"/>
      <c r="K117" s="5"/>
    </row>
    <row r="118" spans="2:11" ht="24" x14ac:dyDescent="0.25">
      <c r="B118" s="1423" t="s">
        <v>975</v>
      </c>
      <c r="C118" s="93"/>
      <c r="D118" s="52" t="s">
        <v>109</v>
      </c>
      <c r="E118" s="5"/>
      <c r="F118" s="5"/>
      <c r="G118" s="5"/>
      <c r="H118" s="5"/>
      <c r="I118" s="5"/>
      <c r="J118" s="5"/>
      <c r="K118" s="5"/>
    </row>
    <row r="119" spans="2:11" ht="20.45" customHeight="1" x14ac:dyDescent="0.25">
      <c r="B119" s="1424"/>
      <c r="C119" s="93"/>
      <c r="D119" s="16"/>
      <c r="E119" s="5"/>
      <c r="F119" s="5"/>
      <c r="G119" s="5"/>
      <c r="H119" s="5"/>
      <c r="I119" s="5"/>
      <c r="J119" s="5"/>
      <c r="K119" s="5"/>
    </row>
    <row r="120" spans="2:11" x14ac:dyDescent="0.25">
      <c r="B120" s="1424"/>
      <c r="C120" s="93"/>
      <c r="D120" s="45" t="s">
        <v>976</v>
      </c>
      <c r="E120" s="5"/>
      <c r="F120" s="5"/>
      <c r="G120" s="5"/>
      <c r="H120" s="5"/>
      <c r="I120" s="5"/>
      <c r="J120" s="5"/>
      <c r="K120" s="5"/>
    </row>
    <row r="121" spans="2:11" ht="37.5" x14ac:dyDescent="0.25">
      <c r="B121" s="1424"/>
      <c r="C121" s="93"/>
      <c r="D121" s="45" t="s">
        <v>1735</v>
      </c>
      <c r="E121" s="5"/>
      <c r="F121" s="5"/>
      <c r="G121" s="5"/>
      <c r="H121" s="5"/>
      <c r="I121" s="5"/>
      <c r="J121" s="5"/>
      <c r="K121" s="5"/>
    </row>
    <row r="122" spans="2:11" ht="37.5" x14ac:dyDescent="0.25">
      <c r="B122" s="1424"/>
      <c r="C122" s="93"/>
      <c r="D122" s="45" t="s">
        <v>1736</v>
      </c>
      <c r="E122" s="5"/>
      <c r="F122" s="5"/>
      <c r="G122" s="5"/>
      <c r="H122" s="5"/>
      <c r="I122" s="5"/>
      <c r="J122" s="5"/>
      <c r="K122" s="5"/>
    </row>
    <row r="123" spans="2:11" ht="37.5" x14ac:dyDescent="0.25">
      <c r="B123" s="1424"/>
      <c r="C123" s="93"/>
      <c r="D123" s="45" t="s">
        <v>1737</v>
      </c>
      <c r="E123" s="5"/>
      <c r="F123" s="5"/>
      <c r="G123" s="5"/>
      <c r="H123" s="5"/>
      <c r="I123" s="5"/>
      <c r="J123" s="5"/>
      <c r="K123" s="5"/>
    </row>
    <row r="124" spans="2:11" ht="37.5" x14ac:dyDescent="0.25">
      <c r="B124" s="1424"/>
      <c r="C124" s="93"/>
      <c r="D124" s="45" t="s">
        <v>1738</v>
      </c>
      <c r="E124" s="5"/>
      <c r="F124" s="5"/>
      <c r="G124" s="5"/>
      <c r="H124" s="5"/>
      <c r="I124" s="5"/>
      <c r="J124" s="5"/>
      <c r="K124" s="5"/>
    </row>
    <row r="125" spans="2:11" x14ac:dyDescent="0.25">
      <c r="B125" s="1424"/>
      <c r="C125" s="93"/>
      <c r="D125" s="45" t="s">
        <v>1739</v>
      </c>
      <c r="E125" s="5"/>
      <c r="F125" s="5"/>
      <c r="G125" s="5"/>
      <c r="H125" s="5"/>
      <c r="I125" s="5"/>
      <c r="J125" s="5"/>
      <c r="K125" s="5"/>
    </row>
    <row r="126" spans="2:11" x14ac:dyDescent="0.25">
      <c r="B126" s="1424"/>
      <c r="C126" s="93"/>
      <c r="D126" s="45" t="s">
        <v>1740</v>
      </c>
      <c r="E126" s="5"/>
      <c r="F126" s="5"/>
      <c r="G126" s="5"/>
      <c r="H126" s="5"/>
      <c r="I126" s="5"/>
      <c r="J126" s="5"/>
      <c r="K126" s="5"/>
    </row>
    <row r="127" spans="2:11" x14ac:dyDescent="0.25">
      <c r="B127" s="1424"/>
      <c r="C127" s="93"/>
      <c r="D127" s="45" t="s">
        <v>1741</v>
      </c>
      <c r="E127" s="5"/>
      <c r="F127" s="5"/>
      <c r="G127" s="5"/>
      <c r="H127" s="5"/>
      <c r="I127" s="5"/>
      <c r="J127" s="5"/>
      <c r="K127" s="5"/>
    </row>
    <row r="128" spans="2:11" x14ac:dyDescent="0.25">
      <c r="B128" s="1424"/>
      <c r="C128" s="93"/>
      <c r="D128" s="45" t="s">
        <v>1742</v>
      </c>
      <c r="E128" s="5"/>
      <c r="F128" s="5"/>
      <c r="G128" s="5"/>
      <c r="H128" s="5"/>
      <c r="I128" s="5"/>
      <c r="J128" s="5"/>
      <c r="K128" s="5"/>
    </row>
    <row r="129" spans="2:11" ht="84" x14ac:dyDescent="0.25">
      <c r="B129" s="1424"/>
      <c r="C129" s="93"/>
      <c r="D129" s="53" t="s">
        <v>1142</v>
      </c>
      <c r="E129" s="5"/>
      <c r="F129" s="5"/>
      <c r="G129" s="5"/>
      <c r="H129" s="5"/>
      <c r="I129" s="5"/>
      <c r="J129" s="5"/>
      <c r="K129" s="5"/>
    </row>
    <row r="130" spans="2:11" x14ac:dyDescent="0.25">
      <c r="B130" s="1424"/>
      <c r="C130" s="93"/>
      <c r="D130" s="45" t="s">
        <v>1116</v>
      </c>
      <c r="E130" s="5"/>
      <c r="F130" s="5"/>
      <c r="G130" s="5"/>
      <c r="H130" s="5"/>
      <c r="I130" s="5"/>
      <c r="J130" s="5"/>
      <c r="K130" s="5"/>
    </row>
    <row r="131" spans="2:11" ht="48" x14ac:dyDescent="0.25">
      <c r="B131" s="1424"/>
      <c r="C131" s="93"/>
      <c r="D131" s="52" t="s">
        <v>1743</v>
      </c>
      <c r="E131" s="5"/>
      <c r="F131" s="5"/>
      <c r="G131" s="5"/>
      <c r="H131" s="5"/>
      <c r="I131" s="5"/>
      <c r="J131" s="5"/>
      <c r="K131" s="5"/>
    </row>
    <row r="132" spans="2:11" x14ac:dyDescent="0.25">
      <c r="B132" s="1424"/>
      <c r="C132" s="93"/>
      <c r="D132" s="16"/>
      <c r="E132" s="5"/>
      <c r="F132" s="5"/>
      <c r="G132" s="5"/>
      <c r="H132" s="5"/>
      <c r="I132" s="5"/>
      <c r="J132" s="5"/>
      <c r="K132" s="5"/>
    </row>
    <row r="133" spans="2:11" x14ac:dyDescent="0.25">
      <c r="B133" s="1424"/>
      <c r="C133" s="93"/>
      <c r="D133" s="45" t="s">
        <v>976</v>
      </c>
      <c r="E133" s="5"/>
      <c r="F133" s="5"/>
      <c r="G133" s="5"/>
      <c r="H133" s="5"/>
      <c r="I133" s="5"/>
      <c r="J133" s="5"/>
      <c r="K133" s="5"/>
    </row>
    <row r="134" spans="2:11" ht="49.5" x14ac:dyDescent="0.25">
      <c r="B134" s="1424"/>
      <c r="C134" s="93"/>
      <c r="D134" s="45" t="s">
        <v>1744</v>
      </c>
      <c r="E134" s="5"/>
      <c r="F134" s="5"/>
      <c r="G134" s="5"/>
      <c r="H134" s="5"/>
      <c r="I134" s="5"/>
      <c r="J134" s="5"/>
      <c r="K134" s="5"/>
    </row>
    <row r="135" spans="2:11" ht="49.5" x14ac:dyDescent="0.25">
      <c r="B135" s="1424"/>
      <c r="C135" s="93"/>
      <c r="D135" s="45" t="s">
        <v>1745</v>
      </c>
      <c r="E135" s="5"/>
      <c r="F135" s="5"/>
      <c r="G135" s="5"/>
      <c r="H135" s="5"/>
      <c r="I135" s="5"/>
      <c r="J135" s="5"/>
      <c r="K135" s="5"/>
    </row>
    <row r="136" spans="2:11" ht="38.25" thickBot="1" x14ac:dyDescent="0.3">
      <c r="B136" s="1425"/>
      <c r="C136" s="2"/>
      <c r="D136" s="40" t="s">
        <v>1746</v>
      </c>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sheetData>
  <mergeCells count="37">
    <mergeCell ref="A1:P1"/>
    <mergeCell ref="A2:P2"/>
    <mergeCell ref="A3:P3"/>
    <mergeCell ref="A4:D4"/>
    <mergeCell ref="A5:P5"/>
    <mergeCell ref="B15:B19"/>
    <mergeCell ref="D21:L21"/>
    <mergeCell ref="D22:D23"/>
    <mergeCell ref="E22:E23"/>
    <mergeCell ref="F22:G22"/>
    <mergeCell ref="H22:K22"/>
    <mergeCell ref="D15:L15"/>
    <mergeCell ref="D20:L20"/>
    <mergeCell ref="F33:G33"/>
    <mergeCell ref="H33:H35"/>
    <mergeCell ref="E34:E35"/>
    <mergeCell ref="F34:F35"/>
    <mergeCell ref="D31:L31"/>
    <mergeCell ref="D32:L32"/>
    <mergeCell ref="B118:B136"/>
    <mergeCell ref="B70:E71"/>
    <mergeCell ref="C22:C23"/>
    <mergeCell ref="B77:B92"/>
    <mergeCell ref="B93:B94"/>
    <mergeCell ref="D93:D94"/>
    <mergeCell ref="B95:B117"/>
    <mergeCell ref="C33:C35"/>
    <mergeCell ref="D33:D35"/>
    <mergeCell ref="B47:E47"/>
    <mergeCell ref="B48:B54"/>
    <mergeCell ref="B56:E56"/>
    <mergeCell ref="B57:B63"/>
    <mergeCell ref="B10:D10"/>
    <mergeCell ref="F10:S10"/>
    <mergeCell ref="F11:S11"/>
    <mergeCell ref="E12:R12"/>
    <mergeCell ref="E13:R13"/>
  </mergeCells>
  <conditionalFormatting sqref="D42">
    <cfRule type="containsText" dxfId="47" priority="5" operator="containsText" text="ERROR">
      <formula>NOT(ISERROR(SEARCH("ERROR",D42)))</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E12:R12">
    <cfRule type="expression" dxfId="43"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H24:K29">
      <formula1>0</formula1>
    </dataValidation>
    <dataValidation type="decimal" allowBlank="1" showInputMessage="1" showErrorMessage="1" errorTitle="ERROR" error="Escriba un valor entre 0% y 100%" sqref="F24:G29 E36:E41">
      <formula1>0</formula1>
      <formula2>1</formula2>
    </dataValidation>
    <dataValidation allowBlank="1" showInputMessage="1" showErrorMessage="1" sqref="H30:K30 F36:G42 D42:E42"/>
    <dataValidation type="list" allowBlank="1" showInputMessage="1" showErrorMessage="1" sqref="E11">
      <formula1>REPORTE</formula1>
    </dataValidation>
    <dataValidation type="list" allowBlank="1" showInputMessage="1" showErrorMessage="1" sqref="E10">
      <formula1>SI</formula1>
    </dataValidation>
  </dataValidations>
  <hyperlinks>
    <hyperlink ref="D92" r:id="rId1"/>
    <hyperlink ref="B9" location="'ANEXO 3'!A1" display="VOLVER AL INDICE"/>
    <hyperlink ref="E52" r:id="rId2"/>
  </hyperlinks>
  <pageMargins left="0.25" right="0.25" top="0.75" bottom="0.75" header="0.3" footer="0.3"/>
  <pageSetup paperSize="178" orientation="landscape" horizontalDpi="1200" verticalDpi="1200" r:id="rId3"/>
  <drawing r:id="rId4"/>
  <legacy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U189"/>
  <sheetViews>
    <sheetView showGridLines="0" topLeftCell="B1" zoomScale="98" zoomScaleNormal="98" workbookViewId="0">
      <selection activeCell="F57" sqref="F57"/>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 min="9" max="9" width="11.42578125" style="132"/>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110</v>
      </c>
      <c r="B5" s="1395"/>
      <c r="C5" s="1395"/>
      <c r="D5" s="1395"/>
      <c r="E5" s="1395"/>
      <c r="F5" s="1395"/>
      <c r="G5" s="1395"/>
      <c r="H5" s="1395"/>
      <c r="I5" s="1395"/>
      <c r="J5" s="1395"/>
      <c r="K5" s="1395"/>
      <c r="L5" s="1395"/>
      <c r="M5" s="1395"/>
      <c r="N5" s="1395"/>
      <c r="O5" s="1395"/>
      <c r="P5" s="1396"/>
    </row>
    <row r="6" spans="1:21" x14ac:dyDescent="0.25">
      <c r="B6" s="3" t="s">
        <v>878</v>
      </c>
      <c r="C6" s="94"/>
      <c r="D6" s="5"/>
      <c r="E6" s="73"/>
      <c r="F6" s="5" t="s">
        <v>879</v>
      </c>
      <c r="G6" s="5"/>
      <c r="H6" s="5"/>
      <c r="I6" s="86"/>
      <c r="J6" s="5"/>
      <c r="K6" s="5"/>
    </row>
    <row r="7" spans="1:21" ht="15.75" thickBot="1" x14ac:dyDescent="0.3">
      <c r="B7" s="74"/>
      <c r="C7" s="76"/>
      <c r="D7" s="5"/>
      <c r="E7" s="17"/>
      <c r="F7" s="5" t="s">
        <v>880</v>
      </c>
      <c r="G7" s="5"/>
      <c r="H7" s="5"/>
      <c r="I7" s="86"/>
      <c r="J7" s="5"/>
      <c r="K7" s="5"/>
    </row>
    <row r="8" spans="1:21" ht="15.75" thickBot="1" x14ac:dyDescent="0.3">
      <c r="B8" s="171" t="s">
        <v>881</v>
      </c>
      <c r="C8" s="210">
        <v>2022</v>
      </c>
      <c r="D8" s="214">
        <f>IF(E10="NO APLICA","NO APLICA",IF(E11="NO SE REPORTA","SIN INFORMACION",+G57))</f>
        <v>0.32458092428036978</v>
      </c>
      <c r="E8" s="211"/>
      <c r="F8" s="5" t="s">
        <v>882</v>
      </c>
      <c r="G8" s="5"/>
      <c r="H8" s="5"/>
      <c r="I8" s="86"/>
      <c r="J8" s="5"/>
      <c r="K8" s="5"/>
    </row>
    <row r="9" spans="1:21" x14ac:dyDescent="0.25">
      <c r="B9" s="356" t="s">
        <v>883</v>
      </c>
      <c r="D9" s="5"/>
      <c r="E9" s="5"/>
      <c r="F9" s="5"/>
      <c r="G9" s="5"/>
      <c r="H9" s="5"/>
      <c r="I9" s="86"/>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86"/>
      <c r="J14" s="5"/>
      <c r="K14" s="5"/>
    </row>
    <row r="15" spans="1:21" x14ac:dyDescent="0.25">
      <c r="B15" s="1423" t="s">
        <v>888</v>
      </c>
      <c r="C15" s="88"/>
      <c r="D15" s="1408" t="s">
        <v>889</v>
      </c>
      <c r="E15" s="1409"/>
      <c r="F15" s="1409"/>
      <c r="G15" s="1409"/>
      <c r="H15" s="1409"/>
      <c r="I15" s="1410"/>
      <c r="J15" s="5"/>
      <c r="K15" s="5"/>
    </row>
    <row r="16" spans="1:21" x14ac:dyDescent="0.25">
      <c r="B16" s="1424"/>
      <c r="C16" s="91"/>
      <c r="D16" s="1562" t="s">
        <v>1747</v>
      </c>
      <c r="E16" s="1563"/>
      <c r="F16" s="1563"/>
      <c r="G16" s="1563"/>
      <c r="H16" s="1563"/>
      <c r="I16" s="1564"/>
      <c r="J16" s="5"/>
      <c r="K16" s="5"/>
    </row>
    <row r="17" spans="2:11" ht="15.75" thickBot="1" x14ac:dyDescent="0.3">
      <c r="B17" s="1424"/>
      <c r="C17" s="91"/>
      <c r="D17" s="1438"/>
      <c r="E17" s="1439"/>
      <c r="F17" s="1439"/>
      <c r="G17" s="1439"/>
      <c r="H17" s="1439"/>
      <c r="I17" s="1440"/>
      <c r="J17" s="5"/>
      <c r="K17" s="5"/>
    </row>
    <row r="18" spans="2:11" ht="15.75" thickBot="1" x14ac:dyDescent="0.3">
      <c r="B18" s="1424"/>
      <c r="C18" s="93"/>
      <c r="D18" s="43" t="s">
        <v>1015</v>
      </c>
      <c r="E18" s="38" t="s">
        <v>909</v>
      </c>
      <c r="F18" s="38" t="s">
        <v>910</v>
      </c>
      <c r="G18" s="38" t="s">
        <v>911</v>
      </c>
      <c r="H18" s="38" t="s">
        <v>912</v>
      </c>
      <c r="I18" s="89" t="s">
        <v>1016</v>
      </c>
      <c r="J18" s="5"/>
      <c r="K18" s="5"/>
    </row>
    <row r="19" spans="2:11" ht="36.75" thickBot="1" x14ac:dyDescent="0.3">
      <c r="B19" s="1424"/>
      <c r="C19" s="93"/>
      <c r="D19" s="40" t="s">
        <v>1748</v>
      </c>
      <c r="E19" s="6">
        <v>287</v>
      </c>
      <c r="F19" s="6">
        <v>594</v>
      </c>
      <c r="G19" s="6">
        <v>160</v>
      </c>
      <c r="H19" s="6"/>
      <c r="I19" s="144">
        <f>SUM(E19:H19)</f>
        <v>1041</v>
      </c>
      <c r="J19" s="5"/>
      <c r="K19" s="5"/>
    </row>
    <row r="20" spans="2:11" ht="24.75" thickBot="1" x14ac:dyDescent="0.3">
      <c r="B20" s="1424"/>
      <c r="C20" s="93"/>
      <c r="D20" s="40" t="s">
        <v>1749</v>
      </c>
      <c r="E20" s="6">
        <v>3</v>
      </c>
      <c r="F20" s="6">
        <v>2</v>
      </c>
      <c r="G20" s="6">
        <v>1</v>
      </c>
      <c r="H20" s="6"/>
      <c r="I20" s="144">
        <f>SUM(E20:H20)</f>
        <v>6</v>
      </c>
      <c r="J20" s="5"/>
      <c r="K20" s="5"/>
    </row>
    <row r="21" spans="2:11" ht="36.75" thickBot="1" x14ac:dyDescent="0.3">
      <c r="B21" s="1424"/>
      <c r="C21" s="93"/>
      <c r="D21" s="40" t="s">
        <v>1750</v>
      </c>
      <c r="E21" s="145">
        <f>+E19/E20</f>
        <v>95.666666666666671</v>
      </c>
      <c r="F21" s="145">
        <f>+F19/F20</f>
        <v>297</v>
      </c>
      <c r="G21" s="145">
        <f>+G19/G20</f>
        <v>160</v>
      </c>
      <c r="H21" s="145" t="e">
        <f>+H19/H20</f>
        <v>#DIV/0!</v>
      </c>
      <c r="I21" s="145">
        <f>+I19/I20</f>
        <v>173.5</v>
      </c>
      <c r="J21" s="5"/>
      <c r="K21" s="5"/>
    </row>
    <row r="22" spans="2:11" x14ac:dyDescent="0.25">
      <c r="B22" s="1424"/>
      <c r="C22" s="91"/>
      <c r="D22" s="1408"/>
      <c r="E22" s="1409"/>
      <c r="F22" s="1409"/>
      <c r="G22" s="1409"/>
      <c r="H22" s="1409"/>
      <c r="I22" s="1410"/>
      <c r="J22" s="5"/>
      <c r="K22" s="5"/>
    </row>
    <row r="23" spans="2:11" x14ac:dyDescent="0.25">
      <c r="B23" s="1424"/>
      <c r="C23" s="91"/>
      <c r="D23" s="1562" t="s">
        <v>1751</v>
      </c>
      <c r="E23" s="1563"/>
      <c r="F23" s="1563"/>
      <c r="G23" s="1563"/>
      <c r="H23" s="1563"/>
      <c r="I23" s="1564"/>
      <c r="J23" s="5"/>
      <c r="K23" s="5"/>
    </row>
    <row r="24" spans="2:11" ht="15.75" thickBot="1" x14ac:dyDescent="0.3">
      <c r="B24" s="1424"/>
      <c r="C24" s="91"/>
      <c r="D24" s="1405"/>
      <c r="E24" s="1406"/>
      <c r="F24" s="1406"/>
      <c r="G24" s="1406"/>
      <c r="H24" s="1406"/>
      <c r="I24" s="1407"/>
      <c r="J24" s="5"/>
      <c r="K24" s="5"/>
    </row>
    <row r="25" spans="2:11" ht="15.75" thickBot="1" x14ac:dyDescent="0.3">
      <c r="B25" s="1424"/>
      <c r="C25" s="93"/>
      <c r="D25" s="43" t="s">
        <v>1015</v>
      </c>
      <c r="E25" s="38" t="s">
        <v>909</v>
      </c>
      <c r="F25" s="38" t="s">
        <v>910</v>
      </c>
      <c r="G25" s="38" t="s">
        <v>911</v>
      </c>
      <c r="H25" s="38" t="s">
        <v>912</v>
      </c>
      <c r="I25" s="89" t="s">
        <v>1016</v>
      </c>
      <c r="J25" s="5"/>
      <c r="K25" s="5"/>
    </row>
    <row r="26" spans="2:11" ht="15.75" thickBot="1" x14ac:dyDescent="0.3">
      <c r="B26" s="1424"/>
      <c r="C26" s="93"/>
      <c r="D26" s="40">
        <v>2</v>
      </c>
      <c r="E26" s="6">
        <v>540</v>
      </c>
      <c r="F26" s="6">
        <v>3014</v>
      </c>
      <c r="G26" s="6">
        <v>1670</v>
      </c>
      <c r="H26" s="6"/>
      <c r="I26" s="144">
        <f>SUM(E26:H26)</f>
        <v>5224</v>
      </c>
      <c r="J26" s="5"/>
      <c r="K26" s="5"/>
    </row>
    <row r="27" spans="2:11" ht="36.75" thickBot="1" x14ac:dyDescent="0.3">
      <c r="B27" s="1424"/>
      <c r="C27" s="93"/>
      <c r="D27" s="40" t="s">
        <v>1752</v>
      </c>
      <c r="E27" s="6">
        <v>4</v>
      </c>
      <c r="F27" s="6">
        <v>10</v>
      </c>
      <c r="G27" s="6">
        <v>7</v>
      </c>
      <c r="H27" s="6"/>
      <c r="I27" s="144">
        <f>SUM(E27:H27)</f>
        <v>21</v>
      </c>
      <c r="J27" s="5"/>
      <c r="K27" s="5"/>
    </row>
    <row r="28" spans="2:11" ht="36.75" thickBot="1" x14ac:dyDescent="0.3">
      <c r="B28" s="1424"/>
      <c r="C28" s="93"/>
      <c r="D28" s="40" t="s">
        <v>1753</v>
      </c>
      <c r="E28" s="145">
        <f>+E26/E27</f>
        <v>135</v>
      </c>
      <c r="F28" s="145">
        <f>+F26/F27</f>
        <v>301.39999999999998</v>
      </c>
      <c r="G28" s="145">
        <f>+G26/G27</f>
        <v>238.57142857142858</v>
      </c>
      <c r="H28" s="145" t="e">
        <f>+H26/H27</f>
        <v>#DIV/0!</v>
      </c>
      <c r="I28" s="145">
        <f>+I26/I27</f>
        <v>248.76190476190476</v>
      </c>
      <c r="J28" s="5"/>
      <c r="K28" s="5"/>
    </row>
    <row r="29" spans="2:11" x14ac:dyDescent="0.25">
      <c r="B29" s="1424"/>
      <c r="C29" s="91"/>
      <c r="D29" s="1408"/>
      <c r="E29" s="1409"/>
      <c r="F29" s="1409"/>
      <c r="G29" s="1409"/>
      <c r="H29" s="1409"/>
      <c r="I29" s="1410"/>
      <c r="J29" s="5"/>
      <c r="K29" s="5"/>
    </row>
    <row r="30" spans="2:11" x14ac:dyDescent="0.25">
      <c r="B30" s="1424"/>
      <c r="C30" s="91"/>
      <c r="D30" s="1562" t="s">
        <v>1754</v>
      </c>
      <c r="E30" s="1563"/>
      <c r="F30" s="1563"/>
      <c r="G30" s="1563"/>
      <c r="H30" s="1563"/>
      <c r="I30" s="1564"/>
      <c r="J30" s="5"/>
      <c r="K30" s="5"/>
    </row>
    <row r="31" spans="2:11" ht="15.75" thickBot="1" x14ac:dyDescent="0.3">
      <c r="B31" s="1424"/>
      <c r="C31" s="91"/>
      <c r="D31" s="1438"/>
      <c r="E31" s="1439"/>
      <c r="F31" s="1439"/>
      <c r="G31" s="1439"/>
      <c r="H31" s="1439"/>
      <c r="I31" s="1440"/>
      <c r="J31" s="5"/>
      <c r="K31" s="5"/>
    </row>
    <row r="32" spans="2:11" ht="15.75" thickBot="1" x14ac:dyDescent="0.3">
      <c r="B32" s="1424"/>
      <c r="C32" s="93"/>
      <c r="D32" s="43" t="s">
        <v>1015</v>
      </c>
      <c r="E32" s="38" t="s">
        <v>909</v>
      </c>
      <c r="F32" s="38" t="s">
        <v>910</v>
      </c>
      <c r="G32" s="38" t="s">
        <v>911</v>
      </c>
      <c r="H32" s="38" t="s">
        <v>912</v>
      </c>
      <c r="I32" s="89" t="s">
        <v>1016</v>
      </c>
      <c r="J32" s="5"/>
      <c r="K32" s="5"/>
    </row>
    <row r="33" spans="2:11" ht="36.75" thickBot="1" x14ac:dyDescent="0.3">
      <c r="B33" s="1424"/>
      <c r="C33" s="93"/>
      <c r="D33" s="40" t="s">
        <v>1755</v>
      </c>
      <c r="E33" s="6">
        <v>1355</v>
      </c>
      <c r="F33" s="6">
        <v>2051</v>
      </c>
      <c r="G33" s="6">
        <v>3700</v>
      </c>
      <c r="H33" s="6"/>
      <c r="I33" s="144">
        <f>SUM(E33:H33)</f>
        <v>7106</v>
      </c>
      <c r="J33" s="5"/>
      <c r="K33" s="5"/>
    </row>
    <row r="34" spans="2:11" ht="24.75" thickBot="1" x14ac:dyDescent="0.3">
      <c r="B34" s="1424"/>
      <c r="C34" s="93"/>
      <c r="D34" s="40" t="s">
        <v>1756</v>
      </c>
      <c r="E34" s="6">
        <v>5</v>
      </c>
      <c r="F34" s="6">
        <v>7</v>
      </c>
      <c r="G34" s="6">
        <v>16</v>
      </c>
      <c r="H34" s="6"/>
      <c r="I34" s="144">
        <f>SUM(E34:H34)</f>
        <v>28</v>
      </c>
      <c r="J34" s="5"/>
      <c r="K34" s="5"/>
    </row>
    <row r="35" spans="2:11" ht="36.75" thickBot="1" x14ac:dyDescent="0.3">
      <c r="B35" s="1424"/>
      <c r="C35" s="93"/>
      <c r="D35" s="40" t="s">
        <v>1757</v>
      </c>
      <c r="E35" s="145">
        <f>+E33/E34</f>
        <v>271</v>
      </c>
      <c r="F35" s="145">
        <f>+F33/F34</f>
        <v>293</v>
      </c>
      <c r="G35" s="145">
        <f>+G33/G34</f>
        <v>231.25</v>
      </c>
      <c r="H35" s="145" t="e">
        <f>+H33/H34</f>
        <v>#DIV/0!</v>
      </c>
      <c r="I35" s="145">
        <f>+I33/I34</f>
        <v>253.78571428571428</v>
      </c>
      <c r="J35" s="5"/>
      <c r="K35" s="5"/>
    </row>
    <row r="36" spans="2:11" x14ac:dyDescent="0.25">
      <c r="B36" s="1424"/>
      <c r="C36" s="91"/>
      <c r="D36" s="1408"/>
      <c r="E36" s="1409"/>
      <c r="F36" s="1409"/>
      <c r="G36" s="1409"/>
      <c r="H36" s="1409"/>
      <c r="I36" s="1410"/>
      <c r="J36" s="5"/>
      <c r="K36" s="5"/>
    </row>
    <row r="37" spans="2:11" x14ac:dyDescent="0.25">
      <c r="B37" s="1424"/>
      <c r="C37" s="91"/>
      <c r="D37" s="1562" t="s">
        <v>1758</v>
      </c>
      <c r="E37" s="1563"/>
      <c r="F37" s="1563"/>
      <c r="G37" s="1563"/>
      <c r="H37" s="1563"/>
      <c r="I37" s="1564"/>
      <c r="J37" s="5"/>
      <c r="K37" s="5"/>
    </row>
    <row r="38" spans="2:11" ht="15.75" thickBot="1" x14ac:dyDescent="0.3">
      <c r="B38" s="1424"/>
      <c r="C38" s="91"/>
      <c r="D38" s="1438"/>
      <c r="E38" s="1439"/>
      <c r="F38" s="1439"/>
      <c r="G38" s="1439"/>
      <c r="H38" s="1439"/>
      <c r="I38" s="1440"/>
      <c r="J38" s="5"/>
      <c r="K38" s="5"/>
    </row>
    <row r="39" spans="2:11" ht="15.75" thickBot="1" x14ac:dyDescent="0.3">
      <c r="B39" s="1424"/>
      <c r="C39" s="93"/>
      <c r="D39" s="43" t="s">
        <v>1015</v>
      </c>
      <c r="E39" s="38" t="s">
        <v>909</v>
      </c>
      <c r="F39" s="38" t="s">
        <v>910</v>
      </c>
      <c r="G39" s="38" t="s">
        <v>911</v>
      </c>
      <c r="H39" s="38" t="s">
        <v>912</v>
      </c>
      <c r="I39" s="89" t="s">
        <v>1016</v>
      </c>
      <c r="J39" s="5"/>
      <c r="K39" s="5"/>
    </row>
    <row r="40" spans="2:11" ht="36.75" thickBot="1" x14ac:dyDescent="0.3">
      <c r="B40" s="1424"/>
      <c r="C40" s="93"/>
      <c r="D40" s="40" t="s">
        <v>1759</v>
      </c>
      <c r="E40" s="6">
        <v>1828</v>
      </c>
      <c r="F40" s="6">
        <v>4097</v>
      </c>
      <c r="G40" s="6">
        <v>2313</v>
      </c>
      <c r="H40" s="6"/>
      <c r="I40" s="144">
        <f>SUM(E40:H40)</f>
        <v>8238</v>
      </c>
      <c r="J40" s="5"/>
      <c r="K40" s="5"/>
    </row>
    <row r="41" spans="2:11" ht="36.75" thickBot="1" x14ac:dyDescent="0.3">
      <c r="B41" s="1424"/>
      <c r="C41" s="93"/>
      <c r="D41" s="40" t="s">
        <v>1760</v>
      </c>
      <c r="E41" s="6">
        <v>14</v>
      </c>
      <c r="F41" s="6">
        <v>29</v>
      </c>
      <c r="G41" s="6">
        <v>15</v>
      </c>
      <c r="H41" s="6"/>
      <c r="I41" s="144">
        <f>SUM(E41:H41)</f>
        <v>58</v>
      </c>
      <c r="J41" s="5"/>
      <c r="K41" s="5"/>
    </row>
    <row r="42" spans="2:11" ht="36.75" thickBot="1" x14ac:dyDescent="0.3">
      <c r="B42" s="1424"/>
      <c r="C42" s="93"/>
      <c r="D42" s="40" t="s">
        <v>1761</v>
      </c>
      <c r="E42" s="145">
        <f>+E40/E41</f>
        <v>130.57142857142858</v>
      </c>
      <c r="F42" s="145">
        <f>+F40/F41</f>
        <v>141.27586206896552</v>
      </c>
      <c r="G42" s="145">
        <f>+G40/G41</f>
        <v>154.19999999999999</v>
      </c>
      <c r="H42" s="145" t="e">
        <f>+H40/H41</f>
        <v>#DIV/0!</v>
      </c>
      <c r="I42" s="145">
        <f>+I40/I41</f>
        <v>142.0344827586207</v>
      </c>
      <c r="J42" s="5"/>
      <c r="K42" s="5"/>
    </row>
    <row r="43" spans="2:11" x14ac:dyDescent="0.25">
      <c r="B43" s="1424"/>
      <c r="C43" s="91"/>
      <c r="D43" s="1408"/>
      <c r="E43" s="1409"/>
      <c r="F43" s="1409"/>
      <c r="G43" s="1409"/>
      <c r="H43" s="1409"/>
      <c r="I43" s="1410"/>
      <c r="J43" s="5"/>
      <c r="K43" s="5"/>
    </row>
    <row r="44" spans="2:11" x14ac:dyDescent="0.25">
      <c r="B44" s="1424"/>
      <c r="C44" s="91"/>
      <c r="D44" s="1562" t="s">
        <v>1762</v>
      </c>
      <c r="E44" s="1563"/>
      <c r="F44" s="1563"/>
      <c r="G44" s="1563"/>
      <c r="H44" s="1563"/>
      <c r="I44" s="1564"/>
      <c r="J44" s="5"/>
      <c r="K44" s="5"/>
    </row>
    <row r="45" spans="2:11" ht="15.75" thickBot="1" x14ac:dyDescent="0.3">
      <c r="B45" s="1424"/>
      <c r="C45" s="91"/>
      <c r="D45" s="1438"/>
      <c r="E45" s="1439"/>
      <c r="F45" s="1439"/>
      <c r="G45" s="1439"/>
      <c r="H45" s="1439"/>
      <c r="I45" s="1440"/>
      <c r="J45" s="5"/>
      <c r="K45" s="5"/>
    </row>
    <row r="46" spans="2:11" ht="15.75" thickBot="1" x14ac:dyDescent="0.3">
      <c r="B46" s="1424"/>
      <c r="C46" s="93"/>
      <c r="D46" s="43" t="s">
        <v>1015</v>
      </c>
      <c r="E46" s="38" t="s">
        <v>909</v>
      </c>
      <c r="F46" s="38" t="s">
        <v>910</v>
      </c>
      <c r="G46" s="38" t="s">
        <v>911</v>
      </c>
      <c r="H46" s="38" t="s">
        <v>912</v>
      </c>
      <c r="I46" s="89" t="s">
        <v>1016</v>
      </c>
      <c r="J46" s="5"/>
      <c r="K46" s="5"/>
    </row>
    <row r="47" spans="2:11" ht="36.75" thickBot="1" x14ac:dyDescent="0.3">
      <c r="B47" s="1424"/>
      <c r="C47" s="93"/>
      <c r="D47" s="40" t="s">
        <v>1763</v>
      </c>
      <c r="E47" s="6">
        <v>106</v>
      </c>
      <c r="F47" s="6">
        <v>97</v>
      </c>
      <c r="G47" s="6">
        <v>0</v>
      </c>
      <c r="H47" s="6"/>
      <c r="I47" s="144">
        <f>SUM(E47:H47)</f>
        <v>203</v>
      </c>
      <c r="J47" s="5"/>
      <c r="K47" s="5"/>
    </row>
    <row r="48" spans="2:11" ht="36.75" thickBot="1" x14ac:dyDescent="0.3">
      <c r="B48" s="1424"/>
      <c r="C48" s="93"/>
      <c r="D48" s="40" t="s">
        <v>1764</v>
      </c>
      <c r="E48" s="6">
        <v>1</v>
      </c>
      <c r="F48" s="6">
        <v>2</v>
      </c>
      <c r="G48" s="6">
        <v>0</v>
      </c>
      <c r="H48" s="6"/>
      <c r="I48" s="144">
        <f>SUM(E48:H48)</f>
        <v>3</v>
      </c>
      <c r="J48" s="5"/>
      <c r="K48" s="5"/>
    </row>
    <row r="49" spans="2:11" ht="36.75" thickBot="1" x14ac:dyDescent="0.3">
      <c r="B49" s="1425"/>
      <c r="C49" s="2"/>
      <c r="D49" s="40" t="s">
        <v>1765</v>
      </c>
      <c r="E49" s="145">
        <f>+E47/E48</f>
        <v>106</v>
      </c>
      <c r="F49" s="145">
        <f>+F47/F48</f>
        <v>48.5</v>
      </c>
      <c r="G49" s="145" t="e">
        <f>+G47/G48</f>
        <v>#DIV/0!</v>
      </c>
      <c r="H49" s="145" t="e">
        <f>+H47/H48</f>
        <v>#DIV/0!</v>
      </c>
      <c r="I49" s="145">
        <f>+I47/I48</f>
        <v>67.666666666666671</v>
      </c>
      <c r="J49" s="5"/>
      <c r="K49" s="5"/>
    </row>
    <row r="50" spans="2:11" ht="15.75" thickBot="1" x14ac:dyDescent="0.3">
      <c r="C50"/>
      <c r="I50"/>
    </row>
    <row r="51" spans="2:11" ht="24.75" thickBot="1" x14ac:dyDescent="0.3">
      <c r="C51"/>
      <c r="D51" s="51" t="s">
        <v>1766</v>
      </c>
      <c r="E51" s="51" t="s">
        <v>1767</v>
      </c>
      <c r="F51" s="51" t="s">
        <v>1768</v>
      </c>
      <c r="G51" s="314" t="s">
        <v>1769</v>
      </c>
      <c r="I51"/>
    </row>
    <row r="52" spans="2:11" ht="15.75" thickBot="1" x14ac:dyDescent="0.3">
      <c r="C52"/>
      <c r="D52" s="51" t="str">
        <f>+D16</f>
        <v>Licencias ambientales</v>
      </c>
      <c r="E52" s="1226">
        <f>+G21</f>
        <v>160</v>
      </c>
      <c r="F52" s="1225">
        <v>90</v>
      </c>
      <c r="G52" s="185">
        <f>IF(F52/E52&gt;1,1,F52/E52)</f>
        <v>0.5625</v>
      </c>
      <c r="I52"/>
    </row>
    <row r="53" spans="2:11" ht="15.75" thickBot="1" x14ac:dyDescent="0.3">
      <c r="C53"/>
      <c r="D53" s="51" t="str">
        <f>+D23</f>
        <v>Concesiones de agua</v>
      </c>
      <c r="E53" s="1226">
        <f>+G28</f>
        <v>238.57142857142858</v>
      </c>
      <c r="F53" s="1225">
        <v>90</v>
      </c>
      <c r="G53" s="185">
        <f>IF(F53/E53&gt;1,1,F53/E53)</f>
        <v>0.3772455089820359</v>
      </c>
      <c r="I53"/>
    </row>
    <row r="54" spans="2:11" ht="15.75" thickBot="1" x14ac:dyDescent="0.3">
      <c r="C54"/>
      <c r="D54" s="51" t="str">
        <f>+D30</f>
        <v>Permisos de vertimiento de agua</v>
      </c>
      <c r="E54" s="1226">
        <f>+G35</f>
        <v>231.25</v>
      </c>
      <c r="F54" s="1225">
        <v>68</v>
      </c>
      <c r="G54" s="185">
        <f>IF(F54/E54&gt;1,1,F54/E54)</f>
        <v>0.29405405405405405</v>
      </c>
      <c r="I54"/>
    </row>
    <row r="55" spans="2:11" ht="15.75" thickBot="1" x14ac:dyDescent="0.3">
      <c r="C55"/>
      <c r="D55" s="51" t="str">
        <f>+D37</f>
        <v>Permisos de aprovechamiento forestal</v>
      </c>
      <c r="E55" s="1226">
        <f>+G42</f>
        <v>154.19999999999999</v>
      </c>
      <c r="F55" s="1225">
        <v>60</v>
      </c>
      <c r="G55" s="185">
        <f>IF(F55/E55&gt;1,1,F55/E55)</f>
        <v>0.38910505836575876</v>
      </c>
      <c r="I55"/>
    </row>
    <row r="56" spans="2:11" ht="15.75" thickBot="1" x14ac:dyDescent="0.3">
      <c r="C56"/>
      <c r="D56" s="51" t="str">
        <f>+D44</f>
        <v>Permisos de emisiones atmosféricas</v>
      </c>
      <c r="E56" s="1226">
        <v>0</v>
      </c>
      <c r="F56" s="1225">
        <v>90</v>
      </c>
      <c r="G56" s="185">
        <v>0</v>
      </c>
      <c r="I56"/>
    </row>
    <row r="57" spans="2:11" ht="24.75" thickBot="1" x14ac:dyDescent="0.3">
      <c r="C57"/>
      <c r="D57" s="51" t="s">
        <v>1770</v>
      </c>
      <c r="E57" s="1226">
        <f>AVERAGE(E52:E56)</f>
        <v>156.8042857142857</v>
      </c>
      <c r="F57" s="1226">
        <f>AVERAGE(F52:F56)</f>
        <v>79.599999999999994</v>
      </c>
      <c r="G57" s="185">
        <f>AVERAGE(G52:G56)</f>
        <v>0.32458092428036978</v>
      </c>
      <c r="I57"/>
    </row>
    <row r="58" spans="2:11" x14ac:dyDescent="0.25">
      <c r="C58"/>
      <c r="I58"/>
    </row>
    <row r="59" spans="2:11" ht="15.75" thickBot="1" x14ac:dyDescent="0.3">
      <c r="C59"/>
      <c r="I59"/>
    </row>
    <row r="60" spans="2:11" ht="60" customHeight="1" thickBot="1" x14ac:dyDescent="0.3">
      <c r="B60" s="51" t="s">
        <v>924</v>
      </c>
      <c r="C60" s="202"/>
      <c r="D60" s="1435" t="s">
        <v>1771</v>
      </c>
      <c r="E60" s="1436"/>
      <c r="F60" s="1436"/>
      <c r="G60" s="1436"/>
      <c r="H60" s="1436"/>
      <c r="I60" s="1437"/>
      <c r="J60" s="5"/>
      <c r="K60" s="5"/>
    </row>
    <row r="61" spans="2:11" ht="36" customHeight="1" thickBot="1" x14ac:dyDescent="0.3">
      <c r="B61" s="46" t="s">
        <v>926</v>
      </c>
      <c r="C61" s="92"/>
      <c r="D61" s="1435" t="s">
        <v>1024</v>
      </c>
      <c r="E61" s="1436"/>
      <c r="F61" s="1436"/>
      <c r="G61" s="1436"/>
      <c r="H61" s="1436"/>
      <c r="I61" s="1437"/>
      <c r="J61" s="5"/>
      <c r="K61" s="5"/>
    </row>
    <row r="62" spans="2:11" ht="15.75" thickBot="1" x14ac:dyDescent="0.3">
      <c r="B62" s="1"/>
      <c r="C62" s="75"/>
      <c r="D62" s="5"/>
      <c r="E62" s="5"/>
      <c r="F62" s="5"/>
      <c r="G62" s="5"/>
      <c r="H62" s="5"/>
      <c r="I62" s="86"/>
      <c r="J62" s="5"/>
      <c r="K62" s="5"/>
    </row>
    <row r="63" spans="2:11" ht="24" customHeight="1" thickBot="1" x14ac:dyDescent="0.3">
      <c r="B63" s="1426" t="s">
        <v>928</v>
      </c>
      <c r="C63" s="1427"/>
      <c r="D63" s="1427"/>
      <c r="E63" s="1428"/>
      <c r="F63" s="5"/>
      <c r="G63" s="5"/>
      <c r="H63" s="5"/>
      <c r="I63" s="86"/>
      <c r="J63" s="5"/>
      <c r="K63" s="5"/>
    </row>
    <row r="64" spans="2:11" ht="15.75" thickBot="1" x14ac:dyDescent="0.3">
      <c r="B64" s="1423">
        <v>1</v>
      </c>
      <c r="C64" s="93"/>
      <c r="D64" s="47" t="s">
        <v>929</v>
      </c>
      <c r="E64" s="133" t="s">
        <v>2093</v>
      </c>
      <c r="F64" s="5"/>
      <c r="G64" s="5"/>
      <c r="H64" s="5"/>
      <c r="I64" s="86"/>
      <c r="J64" s="5"/>
      <c r="K64" s="5"/>
    </row>
    <row r="65" spans="2:11" ht="15.75" thickBot="1" x14ac:dyDescent="0.3">
      <c r="B65" s="1424"/>
      <c r="C65" s="93"/>
      <c r="D65" s="40" t="s">
        <v>7</v>
      </c>
      <c r="E65" s="133" t="s">
        <v>2128</v>
      </c>
      <c r="F65" s="5"/>
      <c r="G65" s="5"/>
      <c r="H65" s="5"/>
      <c r="I65" s="86"/>
      <c r="J65" s="5"/>
      <c r="K65" s="5"/>
    </row>
    <row r="66" spans="2:11" ht="15.75" thickBot="1" x14ac:dyDescent="0.3">
      <c r="B66" s="1424"/>
      <c r="C66" s="93"/>
      <c r="D66" s="40" t="s">
        <v>930</v>
      </c>
      <c r="E66" s="133" t="s">
        <v>2129</v>
      </c>
      <c r="F66" s="5"/>
      <c r="G66" s="5"/>
      <c r="H66" s="5"/>
      <c r="I66" s="86"/>
      <c r="J66" s="5"/>
      <c r="K66" s="5"/>
    </row>
    <row r="67" spans="2:11" ht="15.75" thickBot="1" x14ac:dyDescent="0.3">
      <c r="B67" s="1424"/>
      <c r="C67" s="93"/>
      <c r="D67" s="40" t="s">
        <v>9</v>
      </c>
      <c r="E67" s="133" t="s">
        <v>2130</v>
      </c>
      <c r="F67" s="5"/>
      <c r="G67" s="5"/>
      <c r="H67" s="5"/>
      <c r="I67" s="86"/>
      <c r="J67" s="5"/>
      <c r="K67" s="5"/>
    </row>
    <row r="68" spans="2:11" ht="15.75" thickBot="1" x14ac:dyDescent="0.3">
      <c r="B68" s="1424"/>
      <c r="C68" s="93"/>
      <c r="D68" s="40" t="s">
        <v>11</v>
      </c>
      <c r="E68" s="133" t="s">
        <v>2131</v>
      </c>
      <c r="F68" s="5"/>
      <c r="G68" s="5"/>
      <c r="H68" s="5"/>
      <c r="I68" s="86"/>
      <c r="J68" s="5"/>
      <c r="K68" s="5"/>
    </row>
    <row r="69" spans="2:11" ht="15.75" thickBot="1" x14ac:dyDescent="0.3">
      <c r="B69" s="1424"/>
      <c r="C69" s="93"/>
      <c r="D69" s="40" t="s">
        <v>13</v>
      </c>
      <c r="E69" s="133">
        <v>6695278</v>
      </c>
      <c r="F69" s="5"/>
      <c r="G69" s="5"/>
      <c r="H69" s="5"/>
      <c r="I69" s="86"/>
      <c r="J69" s="5"/>
      <c r="K69" s="5"/>
    </row>
    <row r="70" spans="2:11" ht="15.75" thickBot="1" x14ac:dyDescent="0.3">
      <c r="B70" s="1425"/>
      <c r="C70" s="2"/>
      <c r="D70" s="40" t="s">
        <v>931</v>
      </c>
      <c r="E70" s="133" t="s">
        <v>2097</v>
      </c>
      <c r="F70" s="5"/>
      <c r="G70" s="5"/>
      <c r="H70" s="5"/>
      <c r="I70" s="86"/>
      <c r="J70" s="5"/>
      <c r="K70" s="5"/>
    </row>
    <row r="71" spans="2:11" ht="15.75" thickBot="1" x14ac:dyDescent="0.3">
      <c r="B71" s="1"/>
      <c r="C71" s="75"/>
      <c r="D71" s="5"/>
      <c r="E71" s="5"/>
      <c r="F71" s="5"/>
      <c r="G71" s="5"/>
      <c r="H71" s="5"/>
      <c r="I71" s="86"/>
      <c r="J71" s="5"/>
      <c r="K71" s="5"/>
    </row>
    <row r="72" spans="2:11" ht="15.75" thickBot="1" x14ac:dyDescent="0.3">
      <c r="B72" s="1426" t="s">
        <v>932</v>
      </c>
      <c r="C72" s="1427"/>
      <c r="D72" s="1427"/>
      <c r="E72" s="1428"/>
      <c r="F72" s="5"/>
      <c r="G72" s="5"/>
      <c r="H72" s="5"/>
      <c r="I72" s="86"/>
      <c r="J72" s="5"/>
      <c r="K72" s="5"/>
    </row>
    <row r="73" spans="2:11" ht="15.75" thickBot="1" x14ac:dyDescent="0.3">
      <c r="B73" s="1423">
        <v>1</v>
      </c>
      <c r="C73" s="93"/>
      <c r="D73" s="47" t="s">
        <v>929</v>
      </c>
      <c r="E73" s="125" t="s">
        <v>933</v>
      </c>
      <c r="F73" s="5"/>
      <c r="G73" s="5"/>
      <c r="H73" s="5"/>
      <c r="I73" s="86"/>
      <c r="J73" s="5"/>
      <c r="K73" s="5"/>
    </row>
    <row r="74" spans="2:11" ht="15.75" thickBot="1" x14ac:dyDescent="0.3">
      <c r="B74" s="1424"/>
      <c r="C74" s="93"/>
      <c r="D74" s="40" t="s">
        <v>7</v>
      </c>
      <c r="E74" s="125" t="s">
        <v>1025</v>
      </c>
      <c r="F74" s="5"/>
      <c r="G74" s="5"/>
      <c r="H74" s="5"/>
      <c r="I74" s="86"/>
      <c r="J74" s="5"/>
      <c r="K74" s="5"/>
    </row>
    <row r="75" spans="2:11" ht="15.75" thickBot="1" x14ac:dyDescent="0.3">
      <c r="B75" s="1424"/>
      <c r="C75" s="93"/>
      <c r="D75" s="40" t="s">
        <v>930</v>
      </c>
      <c r="E75" s="169"/>
      <c r="F75" s="5"/>
      <c r="G75" s="5"/>
      <c r="H75" s="5"/>
      <c r="I75" s="86"/>
      <c r="J75" s="5"/>
      <c r="K75" s="5"/>
    </row>
    <row r="76" spans="2:11" ht="15.75" thickBot="1" x14ac:dyDescent="0.3">
      <c r="B76" s="1424"/>
      <c r="C76" s="93"/>
      <c r="D76" s="40" t="s">
        <v>9</v>
      </c>
      <c r="E76" s="169"/>
      <c r="F76" s="5"/>
      <c r="G76" s="5"/>
      <c r="H76" s="5"/>
      <c r="I76" s="86"/>
      <c r="J76" s="5"/>
      <c r="K76" s="5"/>
    </row>
    <row r="77" spans="2:11" ht="15.75" thickBot="1" x14ac:dyDescent="0.3">
      <c r="B77" s="1424"/>
      <c r="C77" s="93"/>
      <c r="D77" s="40" t="s">
        <v>11</v>
      </c>
      <c r="E77" s="169"/>
      <c r="F77" s="5"/>
      <c r="G77" s="5"/>
      <c r="H77" s="5"/>
      <c r="I77" s="86"/>
      <c r="J77" s="5"/>
      <c r="K77" s="5"/>
    </row>
    <row r="78" spans="2:11" ht="15.75" thickBot="1" x14ac:dyDescent="0.3">
      <c r="B78" s="1424"/>
      <c r="C78" s="93"/>
      <c r="D78" s="40" t="s">
        <v>13</v>
      </c>
      <c r="E78" s="169"/>
      <c r="F78" s="5"/>
      <c r="G78" s="5"/>
      <c r="H78" s="5"/>
      <c r="I78" s="86"/>
      <c r="J78" s="5"/>
      <c r="K78" s="5"/>
    </row>
    <row r="79" spans="2:11" ht="15.75" thickBot="1" x14ac:dyDescent="0.3">
      <c r="B79" s="1425"/>
      <c r="C79" s="2"/>
      <c r="D79" s="40" t="s">
        <v>931</v>
      </c>
      <c r="E79" s="169"/>
      <c r="F79" s="5"/>
      <c r="G79" s="5"/>
      <c r="H79" s="5"/>
      <c r="I79" s="86"/>
      <c r="J79" s="5"/>
      <c r="K79" s="5"/>
    </row>
    <row r="80" spans="2:11" ht="15.75" thickBot="1" x14ac:dyDescent="0.3">
      <c r="B80" s="1"/>
      <c r="C80" s="75"/>
      <c r="D80" s="5"/>
      <c r="E80" s="5"/>
      <c r="F80" s="5"/>
      <c r="G80" s="5"/>
      <c r="H80" s="5"/>
      <c r="I80" s="86"/>
      <c r="J80" s="5"/>
      <c r="K80" s="5"/>
    </row>
    <row r="81" spans="2:11" ht="15" customHeight="1" thickBot="1" x14ac:dyDescent="0.3">
      <c r="B81" s="118" t="s">
        <v>935</v>
      </c>
      <c r="C81" s="119"/>
      <c r="D81" s="119"/>
      <c r="E81" s="120"/>
      <c r="G81" s="5"/>
      <c r="H81" s="5"/>
      <c r="I81" s="86"/>
      <c r="J81" s="5"/>
      <c r="K81" s="5"/>
    </row>
    <row r="82" spans="2:11" ht="24.75" thickBot="1" x14ac:dyDescent="0.3">
      <c r="B82" s="46" t="s">
        <v>936</v>
      </c>
      <c r="C82" s="40" t="s">
        <v>937</v>
      </c>
      <c r="D82" s="40" t="s">
        <v>938</v>
      </c>
      <c r="E82" s="40" t="s">
        <v>939</v>
      </c>
      <c r="F82" s="5"/>
      <c r="G82" s="5"/>
      <c r="H82" s="5"/>
      <c r="I82" s="86"/>
      <c r="J82" s="5"/>
    </row>
    <row r="83" spans="2:11" ht="72.75" thickBot="1" x14ac:dyDescent="0.3">
      <c r="B83" s="48">
        <v>42401</v>
      </c>
      <c r="C83" s="40">
        <v>0.01</v>
      </c>
      <c r="D83" s="49" t="s">
        <v>1772</v>
      </c>
      <c r="E83" s="40"/>
      <c r="F83" s="5"/>
      <c r="G83" s="5"/>
      <c r="H83" s="5"/>
      <c r="I83" s="86"/>
      <c r="J83" s="5"/>
    </row>
    <row r="84" spans="2:11" ht="15.75" thickBot="1" x14ac:dyDescent="0.3">
      <c r="B84" s="1"/>
      <c r="C84" s="75"/>
      <c r="D84" s="5"/>
      <c r="E84" s="5"/>
      <c r="F84" s="5"/>
      <c r="G84" s="5"/>
      <c r="H84" s="5"/>
      <c r="I84" s="86"/>
      <c r="J84" s="5"/>
      <c r="K84" s="5"/>
    </row>
    <row r="85" spans="2:11" ht="15.75" thickBot="1" x14ac:dyDescent="0.3">
      <c r="B85" s="128" t="s">
        <v>846</v>
      </c>
      <c r="C85" s="95"/>
      <c r="D85" s="5"/>
      <c r="E85" s="5"/>
      <c r="F85" s="5"/>
      <c r="G85" s="5"/>
      <c r="H85" s="5"/>
      <c r="I85" s="86"/>
      <c r="J85" s="5"/>
      <c r="K85" s="5"/>
    </row>
    <row r="86" spans="2:11" x14ac:dyDescent="0.25">
      <c r="B86" s="1593"/>
      <c r="C86" s="1594"/>
      <c r="D86" s="1595"/>
      <c r="E86" s="5"/>
      <c r="F86" s="5"/>
      <c r="G86" s="5"/>
      <c r="H86" s="5"/>
      <c r="I86" s="86"/>
      <c r="J86" s="5"/>
      <c r="K86" s="5"/>
    </row>
    <row r="87" spans="2:11" ht="15.75" thickBot="1" x14ac:dyDescent="0.3">
      <c r="B87" s="1596"/>
      <c r="C87" s="1597"/>
      <c r="D87" s="1598"/>
      <c r="E87" s="5"/>
      <c r="F87" s="5"/>
      <c r="G87" s="5"/>
      <c r="H87" s="5"/>
      <c r="I87" s="86"/>
      <c r="J87" s="5"/>
      <c r="K87" s="5"/>
    </row>
    <row r="88" spans="2:11" ht="15.75" thickBot="1" x14ac:dyDescent="0.3">
      <c r="B88" s="5"/>
      <c r="D88" s="5"/>
      <c r="E88" s="5"/>
      <c r="F88" s="5"/>
      <c r="G88" s="5"/>
      <c r="H88" s="5"/>
      <c r="I88" s="86"/>
      <c r="J88" s="5"/>
      <c r="K88" s="5"/>
    </row>
    <row r="89" spans="2:11" ht="24.75" thickBot="1" x14ac:dyDescent="0.3">
      <c r="B89" s="50" t="s">
        <v>941</v>
      </c>
      <c r="C89" s="96"/>
      <c r="D89" s="5"/>
      <c r="E89" s="5"/>
      <c r="F89" s="5"/>
      <c r="G89" s="5"/>
      <c r="H89" s="5"/>
      <c r="I89" s="86"/>
      <c r="J89" s="5"/>
      <c r="K89" s="5"/>
    </row>
    <row r="90" spans="2:11" ht="15.75" thickBot="1" x14ac:dyDescent="0.3">
      <c r="B90" s="1"/>
      <c r="C90" s="75"/>
      <c r="D90" s="5"/>
      <c r="E90" s="5"/>
      <c r="F90" s="5"/>
      <c r="G90" s="5"/>
      <c r="H90" s="5"/>
      <c r="I90" s="86"/>
      <c r="J90" s="5"/>
      <c r="K90" s="5"/>
    </row>
    <row r="91" spans="2:11" ht="144" x14ac:dyDescent="0.25">
      <c r="B91" s="1423" t="s">
        <v>942</v>
      </c>
      <c r="C91" s="104"/>
      <c r="D91" s="62" t="s">
        <v>1773</v>
      </c>
      <c r="E91" s="5"/>
      <c r="F91" s="5"/>
      <c r="G91" s="5"/>
      <c r="H91" s="5"/>
      <c r="I91" s="86"/>
      <c r="J91" s="5"/>
      <c r="K91" s="5"/>
    </row>
    <row r="92" spans="2:11" ht="120.75" thickBot="1" x14ac:dyDescent="0.3">
      <c r="B92" s="1425"/>
      <c r="C92" s="2"/>
      <c r="D92" s="40" t="s">
        <v>1774</v>
      </c>
      <c r="E92" s="5"/>
      <c r="F92" s="5"/>
      <c r="G92" s="5"/>
      <c r="H92" s="5"/>
      <c r="I92" s="86"/>
      <c r="J92" s="5"/>
      <c r="K92" s="5"/>
    </row>
    <row r="93" spans="2:11" x14ac:dyDescent="0.25">
      <c r="B93" s="1423" t="s">
        <v>944</v>
      </c>
      <c r="C93" s="93"/>
      <c r="D93" s="52" t="s">
        <v>945</v>
      </c>
      <c r="E93" s="5"/>
      <c r="F93" s="5"/>
      <c r="G93" s="5"/>
      <c r="H93" s="5"/>
      <c r="I93" s="86"/>
      <c r="J93" s="5"/>
      <c r="K93" s="5"/>
    </row>
    <row r="94" spans="2:11" ht="108" x14ac:dyDescent="0.25">
      <c r="B94" s="1424"/>
      <c r="C94" s="93"/>
      <c r="D94" s="45" t="s">
        <v>1775</v>
      </c>
      <c r="E94" s="5"/>
      <c r="F94" s="5"/>
      <c r="G94" s="5"/>
      <c r="H94" s="5"/>
      <c r="I94" s="86"/>
      <c r="J94" s="5"/>
      <c r="K94" s="5"/>
    </row>
    <row r="95" spans="2:11" x14ac:dyDescent="0.25">
      <c r="B95" s="1424"/>
      <c r="C95" s="93"/>
      <c r="D95" s="52" t="s">
        <v>1029</v>
      </c>
      <c r="E95" s="5"/>
      <c r="F95" s="5"/>
      <c r="G95" s="5"/>
      <c r="H95" s="5"/>
      <c r="I95" s="86"/>
      <c r="J95" s="5"/>
      <c r="K95" s="5"/>
    </row>
    <row r="96" spans="2:11" x14ac:dyDescent="0.25">
      <c r="B96" s="1424"/>
      <c r="C96" s="93"/>
      <c r="D96" s="45" t="s">
        <v>949</v>
      </c>
      <c r="E96" s="5"/>
      <c r="F96" s="5"/>
      <c r="G96" s="5"/>
      <c r="H96" s="5"/>
      <c r="I96" s="86"/>
      <c r="J96" s="5"/>
      <c r="K96" s="5"/>
    </row>
    <row r="97" spans="2:11" x14ac:dyDescent="0.25">
      <c r="B97" s="1424"/>
      <c r="C97" s="93"/>
      <c r="D97" s="45" t="s">
        <v>950</v>
      </c>
      <c r="E97" s="5"/>
      <c r="F97" s="5"/>
      <c r="G97" s="5"/>
      <c r="H97" s="5"/>
      <c r="I97" s="86"/>
      <c r="J97" s="5"/>
      <c r="K97" s="5"/>
    </row>
    <row r="98" spans="2:11" x14ac:dyDescent="0.25">
      <c r="B98" s="1424"/>
      <c r="C98" s="93"/>
      <c r="D98" s="45" t="s">
        <v>1776</v>
      </c>
      <c r="E98" s="5"/>
      <c r="F98" s="5"/>
      <c r="G98" s="5"/>
      <c r="H98" s="5"/>
      <c r="I98" s="86"/>
      <c r="J98" s="5"/>
      <c r="K98" s="5"/>
    </row>
    <row r="99" spans="2:11" ht="24" x14ac:dyDescent="0.25">
      <c r="B99" s="1424"/>
      <c r="C99" s="93"/>
      <c r="D99" s="45" t="s">
        <v>1777</v>
      </c>
      <c r="E99" s="5"/>
      <c r="F99" s="5"/>
      <c r="G99" s="5"/>
      <c r="H99" s="5"/>
      <c r="I99" s="86"/>
      <c r="J99" s="5"/>
      <c r="K99" s="5"/>
    </row>
    <row r="100" spans="2:11" ht="24" x14ac:dyDescent="0.25">
      <c r="B100" s="1424"/>
      <c r="C100" s="93"/>
      <c r="D100" s="45" t="s">
        <v>1778</v>
      </c>
      <c r="E100" s="5"/>
      <c r="F100" s="5"/>
      <c r="G100" s="5"/>
      <c r="H100" s="5"/>
      <c r="I100" s="86"/>
      <c r="J100" s="5"/>
      <c r="K100" s="5"/>
    </row>
    <row r="101" spans="2:11" ht="24" x14ac:dyDescent="0.25">
      <c r="B101" s="1424"/>
      <c r="C101" s="93"/>
      <c r="D101" s="45" t="s">
        <v>1779</v>
      </c>
      <c r="E101" s="5"/>
      <c r="F101" s="5"/>
      <c r="G101" s="5"/>
      <c r="H101" s="5"/>
      <c r="I101" s="86"/>
      <c r="J101" s="5"/>
      <c r="K101" s="5"/>
    </row>
    <row r="102" spans="2:11" ht="48" x14ac:dyDescent="0.25">
      <c r="B102" s="1424"/>
      <c r="C102" s="93"/>
      <c r="D102" s="45" t="s">
        <v>1780</v>
      </c>
      <c r="E102" s="5"/>
      <c r="F102" s="5"/>
      <c r="G102" s="5"/>
      <c r="H102" s="5"/>
      <c r="I102" s="86"/>
      <c r="J102" s="5"/>
      <c r="K102" s="5"/>
    </row>
    <row r="103" spans="2:11" ht="36.75" thickBot="1" x14ac:dyDescent="0.3">
      <c r="B103" s="1425"/>
      <c r="C103" s="2"/>
      <c r="D103" s="40" t="s">
        <v>1781</v>
      </c>
      <c r="E103" s="5"/>
      <c r="F103" s="5"/>
      <c r="G103" s="5"/>
      <c r="H103" s="5"/>
      <c r="I103" s="86"/>
      <c r="J103" s="5"/>
      <c r="K103" s="5"/>
    </row>
    <row r="104" spans="2:11" ht="24.75" thickBot="1" x14ac:dyDescent="0.3">
      <c r="B104" s="46" t="s">
        <v>957</v>
      </c>
      <c r="C104" s="2"/>
      <c r="D104" s="40"/>
      <c r="E104" s="5"/>
      <c r="F104" s="5"/>
      <c r="G104" s="5"/>
      <c r="H104" s="5"/>
      <c r="I104" s="86"/>
      <c r="J104" s="5"/>
      <c r="K104" s="5"/>
    </row>
    <row r="105" spans="2:11" ht="252" x14ac:dyDescent="0.25">
      <c r="B105" s="1423" t="s">
        <v>958</v>
      </c>
      <c r="C105" s="93"/>
      <c r="D105" s="45" t="s">
        <v>1782</v>
      </c>
      <c r="E105" s="5"/>
      <c r="F105" s="5"/>
      <c r="G105" s="5"/>
      <c r="H105" s="5"/>
      <c r="I105" s="86"/>
      <c r="J105" s="5"/>
      <c r="K105" s="5"/>
    </row>
    <row r="106" spans="2:11" ht="72" x14ac:dyDescent="0.25">
      <c r="B106" s="1424"/>
      <c r="C106" s="93"/>
      <c r="D106" s="45" t="s">
        <v>1783</v>
      </c>
      <c r="E106" s="5"/>
      <c r="F106" s="5"/>
      <c r="G106" s="5"/>
      <c r="H106" s="5"/>
      <c r="I106" s="86"/>
      <c r="J106" s="5"/>
      <c r="K106" s="5"/>
    </row>
    <row r="107" spans="2:11" ht="72" x14ac:dyDescent="0.25">
      <c r="B107" s="1424"/>
      <c r="C107" s="93"/>
      <c r="D107" s="45" t="s">
        <v>1784</v>
      </c>
      <c r="E107" s="5"/>
      <c r="F107" s="5"/>
      <c r="G107" s="5"/>
      <c r="H107" s="5"/>
      <c r="I107" s="86"/>
      <c r="J107" s="5"/>
      <c r="K107" s="5"/>
    </row>
    <row r="108" spans="2:11" ht="156" x14ac:dyDescent="0.25">
      <c r="B108" s="1424"/>
      <c r="C108" s="93"/>
      <c r="D108" s="45" t="s">
        <v>1785</v>
      </c>
      <c r="E108" s="5"/>
      <c r="F108" s="5"/>
      <c r="G108" s="5"/>
      <c r="H108" s="5"/>
      <c r="I108" s="86"/>
      <c r="J108" s="5"/>
      <c r="K108" s="5"/>
    </row>
    <row r="109" spans="2:11" ht="168" x14ac:dyDescent="0.25">
      <c r="B109" s="1424"/>
      <c r="C109" s="93"/>
      <c r="D109" s="45" t="s">
        <v>1786</v>
      </c>
      <c r="E109" s="5"/>
      <c r="F109" s="5"/>
      <c r="G109" s="5"/>
      <c r="H109" s="5"/>
      <c r="I109" s="86"/>
      <c r="J109" s="5"/>
      <c r="K109" s="5"/>
    </row>
    <row r="110" spans="2:11" ht="108" x14ac:dyDescent="0.25">
      <c r="B110" s="1424"/>
      <c r="C110" s="93"/>
      <c r="D110" s="45" t="s">
        <v>1787</v>
      </c>
      <c r="E110" s="5"/>
      <c r="F110" s="5"/>
      <c r="G110" s="5"/>
      <c r="H110" s="5"/>
      <c r="I110" s="86"/>
      <c r="J110" s="5"/>
      <c r="K110" s="5"/>
    </row>
    <row r="111" spans="2:11" ht="60.75" thickBot="1" x14ac:dyDescent="0.3">
      <c r="B111" s="1425"/>
      <c r="C111" s="2"/>
      <c r="D111" s="40" t="s">
        <v>1788</v>
      </c>
      <c r="E111" s="5"/>
      <c r="F111" s="5"/>
      <c r="G111" s="5"/>
      <c r="H111" s="5"/>
      <c r="I111" s="86"/>
      <c r="J111" s="5"/>
      <c r="K111" s="5"/>
    </row>
    <row r="112" spans="2:11" ht="36" x14ac:dyDescent="0.25">
      <c r="B112" s="1423" t="s">
        <v>975</v>
      </c>
      <c r="C112" s="93"/>
      <c r="D112" s="52" t="s">
        <v>110</v>
      </c>
      <c r="E112" s="5"/>
      <c r="F112" s="5"/>
      <c r="G112" s="5"/>
      <c r="H112" s="5"/>
      <c r="I112" s="86"/>
      <c r="J112" s="5"/>
      <c r="K112" s="5"/>
    </row>
    <row r="113" spans="2:11" x14ac:dyDescent="0.25">
      <c r="B113" s="1424"/>
      <c r="C113" s="93"/>
      <c r="D113" s="16"/>
      <c r="E113" s="5"/>
      <c r="F113" s="5"/>
      <c r="G113" s="5"/>
      <c r="H113" s="5"/>
      <c r="I113" s="86"/>
      <c r="J113" s="5"/>
      <c r="K113" s="5"/>
    </row>
    <row r="114" spans="2:11" x14ac:dyDescent="0.25">
      <c r="B114" s="1424"/>
      <c r="C114" s="93"/>
      <c r="D114" s="45" t="s">
        <v>976</v>
      </c>
      <c r="E114" s="5"/>
      <c r="F114" s="5"/>
      <c r="G114" s="5"/>
      <c r="H114" s="5"/>
      <c r="I114" s="86"/>
      <c r="J114" s="5"/>
      <c r="K114" s="5"/>
    </row>
    <row r="115" spans="2:11" ht="24" x14ac:dyDescent="0.25">
      <c r="B115" s="1424"/>
      <c r="C115" s="93"/>
      <c r="D115" s="45" t="s">
        <v>1789</v>
      </c>
      <c r="E115" s="5"/>
      <c r="F115" s="5"/>
      <c r="G115" s="5"/>
      <c r="H115" s="5"/>
      <c r="I115" s="86"/>
      <c r="J115" s="5"/>
      <c r="K115" s="5"/>
    </row>
    <row r="116" spans="2:11" ht="24" x14ac:dyDescent="0.25">
      <c r="B116" s="1424"/>
      <c r="C116" s="93"/>
      <c r="D116" s="45" t="s">
        <v>1790</v>
      </c>
      <c r="E116" s="5"/>
      <c r="F116" s="5"/>
      <c r="G116" s="5"/>
      <c r="H116" s="5"/>
      <c r="I116" s="86"/>
      <c r="J116" s="5"/>
      <c r="K116" s="5"/>
    </row>
    <row r="117" spans="2:11" ht="60" x14ac:dyDescent="0.25">
      <c r="B117" s="1424"/>
      <c r="C117" s="93"/>
      <c r="D117" s="45" t="s">
        <v>1791</v>
      </c>
      <c r="E117" s="5"/>
      <c r="F117" s="5"/>
      <c r="G117" s="5"/>
      <c r="H117" s="5"/>
      <c r="I117" s="86"/>
      <c r="J117" s="5"/>
      <c r="K117" s="5"/>
    </row>
    <row r="118" spans="2:11" ht="60" x14ac:dyDescent="0.25">
      <c r="B118" s="1424"/>
      <c r="C118" s="93"/>
      <c r="D118" s="45" t="s">
        <v>1792</v>
      </c>
      <c r="E118" s="5"/>
      <c r="F118" s="5"/>
      <c r="G118" s="5"/>
      <c r="H118" s="5"/>
      <c r="I118" s="86"/>
      <c r="J118" s="5"/>
      <c r="K118" s="5"/>
    </row>
    <row r="119" spans="2:11" ht="60" x14ac:dyDescent="0.25">
      <c r="B119" s="1424"/>
      <c r="C119" s="93"/>
      <c r="D119" s="57" t="s">
        <v>1793</v>
      </c>
      <c r="E119" s="5"/>
      <c r="F119" s="5"/>
      <c r="G119" s="5"/>
      <c r="H119" s="5"/>
      <c r="I119" s="86"/>
      <c r="J119" s="5"/>
      <c r="K119" s="5"/>
    </row>
    <row r="120" spans="2:11" ht="36" x14ac:dyDescent="0.25">
      <c r="B120" s="1424"/>
      <c r="C120" s="93"/>
      <c r="D120" s="45" t="s">
        <v>1794</v>
      </c>
      <c r="E120" s="5"/>
      <c r="F120" s="5"/>
      <c r="G120" s="5"/>
      <c r="H120" s="5"/>
      <c r="I120" s="86"/>
      <c r="J120" s="5"/>
      <c r="K120" s="5"/>
    </row>
    <row r="121" spans="2:11" ht="36" x14ac:dyDescent="0.25">
      <c r="B121" s="1424"/>
      <c r="C121" s="93"/>
      <c r="D121" s="45" t="s">
        <v>1795</v>
      </c>
      <c r="E121" s="5"/>
      <c r="F121" s="5"/>
      <c r="G121" s="5"/>
      <c r="H121" s="5"/>
      <c r="I121" s="86"/>
      <c r="J121" s="5"/>
      <c r="K121" s="5"/>
    </row>
    <row r="122" spans="2:11" ht="36" x14ac:dyDescent="0.25">
      <c r="B122" s="1424"/>
      <c r="C122" s="93"/>
      <c r="D122" s="45" t="s">
        <v>1796</v>
      </c>
      <c r="E122" s="5"/>
      <c r="F122" s="5"/>
      <c r="G122" s="5"/>
      <c r="H122" s="5"/>
      <c r="I122" s="86"/>
      <c r="J122" s="5"/>
      <c r="K122" s="5"/>
    </row>
    <row r="123" spans="2:11" ht="36" x14ac:dyDescent="0.25">
      <c r="B123" s="1424"/>
      <c r="C123" s="93"/>
      <c r="D123" s="45" t="s">
        <v>1797</v>
      </c>
      <c r="E123" s="5"/>
      <c r="F123" s="5"/>
      <c r="G123" s="5"/>
      <c r="H123" s="5"/>
      <c r="I123" s="86"/>
      <c r="J123" s="5"/>
      <c r="K123" s="5"/>
    </row>
    <row r="124" spans="2:11" ht="36.75" thickBot="1" x14ac:dyDescent="0.3">
      <c r="B124" s="1425"/>
      <c r="C124" s="2"/>
      <c r="D124" s="40" t="s">
        <v>1798</v>
      </c>
      <c r="E124" s="5"/>
      <c r="F124" s="5"/>
      <c r="G124" s="5"/>
      <c r="H124" s="5"/>
      <c r="I124" s="86"/>
      <c r="J124" s="5"/>
      <c r="K124" s="5"/>
    </row>
    <row r="125" spans="2:11" x14ac:dyDescent="0.25">
      <c r="B125" s="5"/>
      <c r="D125" s="5"/>
      <c r="E125" s="5"/>
      <c r="F125" s="5"/>
      <c r="G125" s="5"/>
      <c r="H125" s="5"/>
      <c r="I125" s="86"/>
      <c r="J125" s="5"/>
      <c r="K125" s="5"/>
    </row>
    <row r="126" spans="2:11" x14ac:dyDescent="0.25">
      <c r="B126" s="5"/>
      <c r="D126" s="5"/>
      <c r="E126" s="5"/>
      <c r="F126" s="5"/>
      <c r="G126" s="5"/>
      <c r="H126" s="5"/>
      <c r="I126" s="86"/>
      <c r="J126" s="5"/>
      <c r="K126" s="5"/>
    </row>
    <row r="127" spans="2:11" x14ac:dyDescent="0.25">
      <c r="B127" s="5"/>
      <c r="D127" s="5"/>
      <c r="E127" s="5"/>
      <c r="F127" s="5"/>
      <c r="G127" s="5"/>
      <c r="H127" s="5"/>
      <c r="I127" s="86"/>
      <c r="J127" s="5"/>
      <c r="K127" s="5"/>
    </row>
    <row r="128" spans="2:11" x14ac:dyDescent="0.25">
      <c r="B128" s="5"/>
      <c r="D128" s="5"/>
      <c r="E128" s="5"/>
      <c r="F128" s="5"/>
      <c r="G128" s="5"/>
      <c r="H128" s="5"/>
      <c r="I128" s="86"/>
      <c r="J128" s="5"/>
      <c r="K128" s="5"/>
    </row>
    <row r="129" spans="2:11" x14ac:dyDescent="0.25">
      <c r="B129" s="5"/>
      <c r="D129" s="5"/>
      <c r="E129" s="5"/>
      <c r="F129" s="5"/>
      <c r="G129" s="5"/>
      <c r="H129" s="5"/>
      <c r="I129" s="86"/>
      <c r="J129" s="5"/>
      <c r="K129" s="5"/>
    </row>
    <row r="130" spans="2:11" x14ac:dyDescent="0.25">
      <c r="B130" s="5"/>
      <c r="D130" s="5"/>
      <c r="E130" s="5"/>
      <c r="F130" s="5"/>
      <c r="G130" s="5"/>
      <c r="H130" s="5"/>
      <c r="I130" s="86"/>
      <c r="J130" s="5"/>
      <c r="K130" s="5"/>
    </row>
    <row r="131" spans="2:11" x14ac:dyDescent="0.25">
      <c r="B131" s="5"/>
      <c r="D131" s="5"/>
      <c r="E131" s="5"/>
      <c r="F131" s="5"/>
      <c r="G131" s="5"/>
      <c r="H131" s="5"/>
      <c r="I131" s="86"/>
      <c r="J131" s="5"/>
      <c r="K131" s="5"/>
    </row>
    <row r="132" spans="2:11" x14ac:dyDescent="0.25">
      <c r="B132" s="5"/>
      <c r="D132" s="5"/>
      <c r="E132" s="5"/>
      <c r="F132" s="5"/>
      <c r="G132" s="5"/>
      <c r="H132" s="5"/>
      <c r="I132" s="86"/>
      <c r="J132" s="5"/>
      <c r="K132" s="5"/>
    </row>
    <row r="133" spans="2:11" x14ac:dyDescent="0.25">
      <c r="B133" s="5"/>
      <c r="D133" s="5"/>
      <c r="E133" s="5"/>
      <c r="F133" s="5"/>
      <c r="G133" s="5"/>
      <c r="H133" s="5"/>
      <c r="I133" s="86"/>
      <c r="J133" s="5"/>
      <c r="K133" s="5"/>
    </row>
    <row r="134" spans="2:11" x14ac:dyDescent="0.25">
      <c r="B134" s="5"/>
      <c r="D134" s="5"/>
      <c r="E134" s="5"/>
      <c r="F134" s="5"/>
      <c r="G134" s="5"/>
      <c r="H134" s="5"/>
      <c r="I134" s="86"/>
      <c r="J134" s="5"/>
      <c r="K134" s="5"/>
    </row>
    <row r="135" spans="2:11" x14ac:dyDescent="0.25">
      <c r="B135" s="5"/>
      <c r="D135" s="5"/>
      <c r="E135" s="5"/>
      <c r="F135" s="5"/>
      <c r="G135" s="5"/>
      <c r="H135" s="5"/>
      <c r="I135" s="86"/>
      <c r="J135" s="5"/>
      <c r="K135" s="5"/>
    </row>
    <row r="136" spans="2:11" x14ac:dyDescent="0.25">
      <c r="B136" s="5"/>
      <c r="D136" s="5"/>
      <c r="E136" s="5"/>
      <c r="F136" s="5"/>
      <c r="G136" s="5"/>
      <c r="H136" s="5"/>
      <c r="I136" s="86"/>
      <c r="J136" s="5"/>
      <c r="K136" s="5"/>
    </row>
    <row r="137" spans="2:11" x14ac:dyDescent="0.25">
      <c r="B137" s="5"/>
      <c r="D137" s="5"/>
      <c r="E137" s="5"/>
      <c r="F137" s="5"/>
      <c r="G137" s="5"/>
      <c r="H137" s="5"/>
      <c r="I137" s="86"/>
      <c r="J137" s="5"/>
      <c r="K137" s="5"/>
    </row>
    <row r="138" spans="2:11" x14ac:dyDescent="0.25">
      <c r="B138" s="5"/>
      <c r="D138" s="5"/>
      <c r="E138" s="5"/>
      <c r="F138" s="5"/>
      <c r="G138" s="5"/>
      <c r="H138" s="5"/>
      <c r="I138" s="86"/>
      <c r="J138" s="5"/>
      <c r="K138" s="5"/>
    </row>
    <row r="139" spans="2:11" x14ac:dyDescent="0.25">
      <c r="B139" s="5"/>
      <c r="D139" s="5"/>
      <c r="E139" s="5"/>
      <c r="F139" s="5"/>
      <c r="G139" s="5"/>
      <c r="H139" s="5"/>
      <c r="I139" s="86"/>
      <c r="J139" s="5"/>
      <c r="K139" s="5"/>
    </row>
    <row r="140" spans="2:11" x14ac:dyDescent="0.25">
      <c r="B140" s="5"/>
      <c r="D140" s="5"/>
      <c r="E140" s="5"/>
      <c r="F140" s="5"/>
      <c r="G140" s="5"/>
      <c r="H140" s="5"/>
      <c r="I140" s="86"/>
      <c r="J140" s="5"/>
      <c r="K140" s="5"/>
    </row>
    <row r="141" spans="2:11" x14ac:dyDescent="0.25">
      <c r="B141" s="5"/>
      <c r="D141" s="5"/>
      <c r="E141" s="5"/>
      <c r="F141" s="5"/>
      <c r="G141" s="5"/>
      <c r="H141" s="5"/>
      <c r="I141" s="86"/>
      <c r="J141" s="5"/>
      <c r="K141" s="5"/>
    </row>
    <row r="142" spans="2:11" x14ac:dyDescent="0.25">
      <c r="B142" s="5"/>
      <c r="D142" s="5"/>
      <c r="E142" s="5"/>
      <c r="F142" s="5"/>
      <c r="G142" s="5"/>
      <c r="H142" s="5"/>
      <c r="I142" s="86"/>
      <c r="J142" s="5"/>
      <c r="K142" s="5"/>
    </row>
    <row r="143" spans="2:11" x14ac:dyDescent="0.25">
      <c r="B143" s="5"/>
      <c r="D143" s="5"/>
      <c r="E143" s="5"/>
      <c r="F143" s="5"/>
      <c r="G143" s="5"/>
      <c r="H143" s="5"/>
      <c r="I143" s="86"/>
      <c r="J143" s="5"/>
      <c r="K143" s="5"/>
    </row>
    <row r="144" spans="2:11" x14ac:dyDescent="0.25">
      <c r="B144" s="5"/>
      <c r="D144" s="5"/>
      <c r="E144" s="5"/>
      <c r="F144" s="5"/>
      <c r="G144" s="5"/>
      <c r="H144" s="5"/>
      <c r="I144" s="86"/>
      <c r="J144" s="5"/>
      <c r="K144" s="5"/>
    </row>
    <row r="145" spans="2:11" x14ac:dyDescent="0.25">
      <c r="B145" s="5"/>
      <c r="D145" s="5"/>
      <c r="E145" s="5"/>
      <c r="F145" s="5"/>
      <c r="G145" s="5"/>
      <c r="H145" s="5"/>
      <c r="I145" s="86"/>
      <c r="J145" s="5"/>
      <c r="K145" s="5"/>
    </row>
    <row r="146" spans="2:11" x14ac:dyDescent="0.25">
      <c r="B146" s="5"/>
      <c r="D146" s="5"/>
      <c r="E146" s="5"/>
      <c r="F146" s="5"/>
      <c r="G146" s="5"/>
      <c r="H146" s="5"/>
      <c r="I146" s="86"/>
      <c r="J146" s="5"/>
      <c r="K146" s="5"/>
    </row>
    <row r="147" spans="2:11" x14ac:dyDescent="0.25">
      <c r="B147" s="5"/>
      <c r="D147" s="5"/>
      <c r="E147" s="5"/>
      <c r="F147" s="5"/>
      <c r="G147" s="5"/>
      <c r="H147" s="5"/>
      <c r="I147" s="86"/>
      <c r="J147" s="5"/>
      <c r="K147" s="5"/>
    </row>
    <row r="148" spans="2:11" x14ac:dyDescent="0.25">
      <c r="B148" s="5"/>
      <c r="D148" s="5"/>
      <c r="E148" s="5"/>
      <c r="F148" s="5"/>
      <c r="G148" s="5"/>
      <c r="H148" s="5"/>
      <c r="I148" s="86"/>
      <c r="J148" s="5"/>
      <c r="K148" s="5"/>
    </row>
    <row r="149" spans="2:11" x14ac:dyDescent="0.25">
      <c r="B149" s="5"/>
      <c r="D149" s="5"/>
      <c r="E149" s="5"/>
      <c r="F149" s="5"/>
      <c r="G149" s="5"/>
      <c r="H149" s="5"/>
      <c r="I149" s="86"/>
      <c r="J149" s="5"/>
      <c r="K149" s="5"/>
    </row>
    <row r="150" spans="2:11" x14ac:dyDescent="0.25">
      <c r="B150" s="5"/>
      <c r="D150" s="5"/>
      <c r="E150" s="5"/>
      <c r="F150" s="5"/>
      <c r="G150" s="5"/>
      <c r="H150" s="5"/>
      <c r="I150" s="86"/>
      <c r="J150" s="5"/>
      <c r="K150" s="5"/>
    </row>
    <row r="151" spans="2:11" x14ac:dyDescent="0.25">
      <c r="B151" s="5"/>
      <c r="D151" s="5"/>
      <c r="E151" s="5"/>
      <c r="F151" s="5"/>
      <c r="G151" s="5"/>
      <c r="H151" s="5"/>
      <c r="I151" s="86"/>
      <c r="J151" s="5"/>
      <c r="K151" s="5"/>
    </row>
    <row r="152" spans="2:11" x14ac:dyDescent="0.25">
      <c r="B152" s="5"/>
      <c r="D152" s="5"/>
      <c r="E152" s="5"/>
      <c r="F152" s="5"/>
      <c r="G152" s="5"/>
      <c r="H152" s="5"/>
      <c r="I152" s="86"/>
      <c r="J152" s="5"/>
      <c r="K152" s="5"/>
    </row>
    <row r="153" spans="2:11" x14ac:dyDescent="0.25">
      <c r="B153" s="5"/>
      <c r="D153" s="5"/>
      <c r="E153" s="5"/>
      <c r="F153" s="5"/>
      <c r="G153" s="5"/>
      <c r="H153" s="5"/>
      <c r="I153" s="86"/>
      <c r="J153" s="5"/>
      <c r="K153" s="5"/>
    </row>
    <row r="154" spans="2:11" x14ac:dyDescent="0.25">
      <c r="B154" s="5"/>
      <c r="D154" s="5"/>
      <c r="E154" s="5"/>
      <c r="F154" s="5"/>
      <c r="G154" s="5"/>
      <c r="H154" s="5"/>
      <c r="I154" s="86"/>
      <c r="J154" s="5"/>
      <c r="K154" s="5"/>
    </row>
    <row r="155" spans="2:11" x14ac:dyDescent="0.25">
      <c r="B155" s="5"/>
      <c r="D155" s="5"/>
      <c r="E155" s="5"/>
      <c r="F155" s="5"/>
      <c r="G155" s="5"/>
      <c r="H155" s="5"/>
      <c r="I155" s="86"/>
      <c r="J155" s="5"/>
      <c r="K155" s="5"/>
    </row>
    <row r="156" spans="2:11" x14ac:dyDescent="0.25">
      <c r="B156" s="5"/>
      <c r="D156" s="5"/>
      <c r="E156" s="5"/>
      <c r="F156" s="5"/>
      <c r="G156" s="5"/>
      <c r="H156" s="5"/>
      <c r="I156" s="86"/>
      <c r="J156" s="5"/>
      <c r="K156" s="5"/>
    </row>
    <row r="157" spans="2:11" x14ac:dyDescent="0.25">
      <c r="B157" s="5"/>
      <c r="D157" s="5"/>
      <c r="E157" s="5"/>
      <c r="F157" s="5"/>
      <c r="G157" s="5"/>
      <c r="H157" s="5"/>
      <c r="I157" s="86"/>
      <c r="J157" s="5"/>
      <c r="K157" s="5"/>
    </row>
    <row r="158" spans="2:11" x14ac:dyDescent="0.25">
      <c r="B158" s="5"/>
      <c r="D158" s="5"/>
      <c r="E158" s="5"/>
      <c r="F158" s="5"/>
      <c r="G158" s="5"/>
      <c r="H158" s="5"/>
      <c r="I158" s="86"/>
      <c r="J158" s="5"/>
      <c r="K158" s="5"/>
    </row>
    <row r="159" spans="2:11" x14ac:dyDescent="0.25">
      <c r="B159" s="5"/>
      <c r="D159" s="5"/>
      <c r="E159" s="5"/>
      <c r="F159" s="5"/>
      <c r="G159" s="5"/>
      <c r="H159" s="5"/>
      <c r="I159" s="86"/>
      <c r="J159" s="5"/>
      <c r="K159" s="5"/>
    </row>
    <row r="160" spans="2:11" x14ac:dyDescent="0.25">
      <c r="B160" s="5"/>
      <c r="D160" s="5"/>
      <c r="E160" s="5"/>
      <c r="F160" s="5"/>
      <c r="G160" s="5"/>
      <c r="H160" s="5"/>
      <c r="I160" s="86"/>
      <c r="J160" s="5"/>
      <c r="K160" s="5"/>
    </row>
    <row r="161" spans="2:11" x14ac:dyDescent="0.25">
      <c r="B161" s="5"/>
      <c r="D161" s="5"/>
      <c r="E161" s="5"/>
      <c r="F161" s="5"/>
      <c r="G161" s="5"/>
      <c r="H161" s="5"/>
      <c r="I161" s="86"/>
      <c r="J161" s="5"/>
      <c r="K161" s="5"/>
    </row>
    <row r="162" spans="2:11" x14ac:dyDescent="0.25">
      <c r="B162" s="5"/>
      <c r="D162" s="5"/>
      <c r="E162" s="5"/>
      <c r="F162" s="5"/>
      <c r="G162" s="5"/>
      <c r="H162" s="5"/>
      <c r="I162" s="86"/>
      <c r="J162" s="5"/>
      <c r="K162" s="5"/>
    </row>
    <row r="163" spans="2:11" x14ac:dyDescent="0.25">
      <c r="B163" s="5"/>
      <c r="D163" s="5"/>
      <c r="E163" s="5"/>
      <c r="F163" s="5"/>
      <c r="G163" s="5"/>
      <c r="H163" s="5"/>
      <c r="I163" s="86"/>
      <c r="J163" s="5"/>
      <c r="K163" s="5"/>
    </row>
    <row r="164" spans="2:11" x14ac:dyDescent="0.25">
      <c r="B164" s="5"/>
      <c r="D164" s="5"/>
      <c r="E164" s="5"/>
      <c r="F164" s="5"/>
      <c r="G164" s="5"/>
      <c r="H164" s="5"/>
      <c r="I164" s="86"/>
      <c r="J164" s="5"/>
      <c r="K164" s="5"/>
    </row>
    <row r="165" spans="2:11" x14ac:dyDescent="0.25">
      <c r="B165" s="5"/>
      <c r="D165" s="5"/>
      <c r="E165" s="5"/>
      <c r="F165" s="5"/>
      <c r="G165" s="5"/>
      <c r="H165" s="5"/>
      <c r="I165" s="86"/>
      <c r="J165" s="5"/>
      <c r="K165" s="5"/>
    </row>
    <row r="166" spans="2:11" x14ac:dyDescent="0.25">
      <c r="B166" s="5"/>
      <c r="D166" s="5"/>
      <c r="E166" s="5"/>
      <c r="F166" s="5"/>
      <c r="G166" s="5"/>
      <c r="H166" s="5"/>
      <c r="I166" s="86"/>
      <c r="J166" s="5"/>
      <c r="K166" s="5"/>
    </row>
    <row r="167" spans="2:11" x14ac:dyDescent="0.25">
      <c r="B167" s="5"/>
      <c r="D167" s="5"/>
      <c r="E167" s="5"/>
      <c r="F167" s="5"/>
      <c r="G167" s="5"/>
      <c r="H167" s="5"/>
      <c r="I167" s="86"/>
      <c r="J167" s="5"/>
      <c r="K167" s="5"/>
    </row>
    <row r="168" spans="2:11" x14ac:dyDescent="0.25">
      <c r="B168" s="5"/>
      <c r="D168" s="5"/>
      <c r="E168" s="5"/>
      <c r="F168" s="5"/>
      <c r="G168" s="5"/>
      <c r="H168" s="5"/>
      <c r="I168" s="86"/>
      <c r="J168" s="5"/>
      <c r="K168" s="5"/>
    </row>
    <row r="169" spans="2:11" x14ac:dyDescent="0.25">
      <c r="B169" s="5"/>
      <c r="D169" s="5"/>
      <c r="E169" s="5"/>
      <c r="F169" s="5"/>
      <c r="G169" s="5"/>
      <c r="H169" s="5"/>
      <c r="I169" s="86"/>
      <c r="J169" s="5"/>
      <c r="K169" s="5"/>
    </row>
    <row r="170" spans="2:11" x14ac:dyDescent="0.25">
      <c r="B170" s="5"/>
      <c r="D170" s="5"/>
      <c r="E170" s="5"/>
      <c r="F170" s="5"/>
      <c r="G170" s="5"/>
      <c r="H170" s="5"/>
      <c r="I170" s="86"/>
      <c r="J170" s="5"/>
      <c r="K170" s="5"/>
    </row>
    <row r="171" spans="2:11" x14ac:dyDescent="0.25">
      <c r="B171" s="5"/>
      <c r="D171" s="5"/>
      <c r="E171" s="5"/>
      <c r="F171" s="5"/>
      <c r="G171" s="5"/>
      <c r="H171" s="5"/>
      <c r="I171" s="86"/>
      <c r="J171" s="5"/>
      <c r="K171" s="5"/>
    </row>
    <row r="172" spans="2:11" x14ac:dyDescent="0.25">
      <c r="B172" s="5"/>
      <c r="D172" s="5"/>
      <c r="E172" s="5"/>
      <c r="F172" s="5"/>
      <c r="G172" s="5"/>
      <c r="H172" s="5"/>
      <c r="I172" s="86"/>
      <c r="J172" s="5"/>
      <c r="K172" s="5"/>
    </row>
    <row r="173" spans="2:11" x14ac:dyDescent="0.25">
      <c r="B173" s="5"/>
      <c r="D173" s="5"/>
      <c r="E173" s="5"/>
      <c r="F173" s="5"/>
      <c r="G173" s="5"/>
      <c r="H173" s="5"/>
      <c r="I173" s="86"/>
      <c r="J173" s="5"/>
      <c r="K173" s="5"/>
    </row>
    <row r="174" spans="2:11" x14ac:dyDescent="0.25">
      <c r="B174" s="5"/>
      <c r="D174" s="5"/>
      <c r="E174" s="5"/>
      <c r="F174" s="5"/>
      <c r="G174" s="5"/>
      <c r="H174" s="5"/>
      <c r="I174" s="86"/>
      <c r="J174" s="5"/>
      <c r="K174" s="5"/>
    </row>
    <row r="175" spans="2:11" x14ac:dyDescent="0.25">
      <c r="B175" s="5"/>
      <c r="D175" s="5"/>
      <c r="E175" s="5"/>
      <c r="F175" s="5"/>
      <c r="G175" s="5"/>
      <c r="H175" s="5"/>
      <c r="I175" s="86"/>
      <c r="J175" s="5"/>
      <c r="K175" s="5"/>
    </row>
    <row r="176" spans="2:11" x14ac:dyDescent="0.25">
      <c r="B176" s="5"/>
      <c r="D176" s="5"/>
      <c r="E176" s="5"/>
      <c r="F176" s="5"/>
      <c r="G176" s="5"/>
      <c r="H176" s="5"/>
      <c r="I176" s="86"/>
      <c r="J176" s="5"/>
      <c r="K176" s="5"/>
    </row>
    <row r="177" spans="2:11" x14ac:dyDescent="0.25">
      <c r="B177" s="5"/>
      <c r="D177" s="5"/>
      <c r="E177" s="5"/>
      <c r="F177" s="5"/>
      <c r="G177" s="5"/>
      <c r="H177" s="5"/>
      <c r="I177" s="86"/>
      <c r="J177" s="5"/>
      <c r="K177" s="5"/>
    </row>
    <row r="178" spans="2:11" x14ac:dyDescent="0.25">
      <c r="B178" s="5"/>
      <c r="D178" s="5"/>
      <c r="E178" s="5"/>
      <c r="F178" s="5"/>
      <c r="G178" s="5"/>
      <c r="H178" s="5"/>
      <c r="I178" s="86"/>
      <c r="J178" s="5"/>
      <c r="K178" s="5"/>
    </row>
    <row r="179" spans="2:11" x14ac:dyDescent="0.25">
      <c r="B179" s="5"/>
      <c r="D179" s="5"/>
      <c r="E179" s="5"/>
      <c r="F179" s="5"/>
      <c r="G179" s="5"/>
      <c r="H179" s="5"/>
      <c r="I179" s="86"/>
      <c r="J179" s="5"/>
      <c r="K179" s="5"/>
    </row>
    <row r="180" spans="2:11" x14ac:dyDescent="0.25">
      <c r="B180" s="5"/>
      <c r="D180" s="5"/>
      <c r="E180" s="5"/>
      <c r="F180" s="5"/>
      <c r="G180" s="5"/>
      <c r="H180" s="5"/>
      <c r="I180" s="86"/>
      <c r="J180" s="5"/>
      <c r="K180" s="5"/>
    </row>
    <row r="181" spans="2:11" x14ac:dyDescent="0.25">
      <c r="B181" s="5"/>
      <c r="D181" s="5"/>
      <c r="E181" s="5"/>
      <c r="F181" s="5"/>
      <c r="G181" s="5"/>
      <c r="H181" s="5"/>
      <c r="I181" s="86"/>
      <c r="J181" s="5"/>
      <c r="K181" s="5"/>
    </row>
    <row r="182" spans="2:11" x14ac:dyDescent="0.25">
      <c r="B182" s="5"/>
      <c r="D182" s="5"/>
      <c r="E182" s="5"/>
      <c r="F182" s="5"/>
      <c r="G182" s="5"/>
      <c r="H182" s="5"/>
      <c r="I182" s="86"/>
      <c r="J182" s="5"/>
      <c r="K182" s="5"/>
    </row>
    <row r="183" spans="2:11" x14ac:dyDescent="0.25">
      <c r="B183" s="5"/>
      <c r="D183" s="5"/>
      <c r="E183" s="5"/>
      <c r="F183" s="5"/>
      <c r="G183" s="5"/>
      <c r="H183" s="5"/>
      <c r="I183" s="86"/>
      <c r="J183" s="5"/>
      <c r="K183" s="5"/>
    </row>
    <row r="184" spans="2:11" x14ac:dyDescent="0.25">
      <c r="B184" s="5"/>
      <c r="D184" s="5"/>
      <c r="E184" s="5"/>
      <c r="F184" s="5"/>
      <c r="G184" s="5"/>
      <c r="H184" s="5"/>
      <c r="I184" s="86"/>
      <c r="J184" s="5"/>
      <c r="K184" s="5"/>
    </row>
    <row r="185" spans="2:11" x14ac:dyDescent="0.25">
      <c r="B185" s="5"/>
      <c r="D185" s="5"/>
      <c r="E185" s="5"/>
      <c r="F185" s="5"/>
      <c r="G185" s="5"/>
      <c r="H185" s="5"/>
      <c r="I185" s="86"/>
      <c r="J185" s="5"/>
      <c r="K185" s="5"/>
    </row>
    <row r="186" spans="2:11" x14ac:dyDescent="0.25">
      <c r="B186" s="5"/>
      <c r="D186" s="5"/>
      <c r="E186" s="5"/>
      <c r="F186" s="5"/>
      <c r="G186" s="5"/>
      <c r="H186" s="5"/>
      <c r="I186" s="86"/>
      <c r="J186" s="5"/>
      <c r="K186" s="5"/>
    </row>
    <row r="187" spans="2:11" x14ac:dyDescent="0.25">
      <c r="B187" s="5"/>
      <c r="D187" s="5"/>
      <c r="E187" s="5"/>
      <c r="F187" s="5"/>
      <c r="G187" s="5"/>
      <c r="H187" s="5"/>
      <c r="I187" s="86"/>
      <c r="J187" s="5"/>
      <c r="K187" s="5"/>
    </row>
    <row r="188" spans="2:11" x14ac:dyDescent="0.25">
      <c r="B188" s="5"/>
      <c r="D188" s="5"/>
      <c r="E188" s="5"/>
      <c r="F188" s="5"/>
      <c r="G188" s="5"/>
      <c r="H188" s="5"/>
      <c r="I188" s="86"/>
      <c r="J188" s="5"/>
      <c r="K188" s="5"/>
    </row>
    <row r="189" spans="2:11" x14ac:dyDescent="0.25">
      <c r="B189" s="5"/>
      <c r="D189" s="5"/>
      <c r="E189" s="5"/>
      <c r="F189" s="5"/>
      <c r="G189" s="5"/>
      <c r="H189" s="5"/>
      <c r="I189" s="86"/>
      <c r="J189" s="5"/>
      <c r="K189" s="5"/>
    </row>
  </sheetData>
  <sheetProtection insertColumns="0" insertRows="0"/>
  <mergeCells count="37">
    <mergeCell ref="A1:P1"/>
    <mergeCell ref="A2:P2"/>
    <mergeCell ref="A3:P3"/>
    <mergeCell ref="A4:D4"/>
    <mergeCell ref="A5:P5"/>
    <mergeCell ref="B86:D87"/>
    <mergeCell ref="D61:I61"/>
    <mergeCell ref="B63:E63"/>
    <mergeCell ref="B64:B70"/>
    <mergeCell ref="B72:E72"/>
    <mergeCell ref="B73:B79"/>
    <mergeCell ref="D38:I38"/>
    <mergeCell ref="D43:I43"/>
    <mergeCell ref="D44:I44"/>
    <mergeCell ref="D45:I45"/>
    <mergeCell ref="D60:I60"/>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B10:D10"/>
    <mergeCell ref="F10:S10"/>
    <mergeCell ref="F11:S11"/>
    <mergeCell ref="E12:R12"/>
    <mergeCell ref="E13:R13"/>
  </mergeCells>
  <conditionalFormatting sqref="F10">
    <cfRule type="notContainsBlanks" dxfId="42" priority="4">
      <formula>LEN(TRIM(F10))&gt;0</formula>
    </cfRule>
  </conditionalFormatting>
  <conditionalFormatting sqref="F11:S11">
    <cfRule type="expression" dxfId="41" priority="2">
      <formula>E11="NO SE REPORTA"</formula>
    </cfRule>
    <cfRule type="expression" dxfId="40" priority="3">
      <formula>E10="NO APLICA"</formula>
    </cfRule>
  </conditionalFormatting>
  <conditionalFormatting sqref="E12:R12">
    <cfRule type="expression" dxfId="39" priority="1">
      <formula>E11="SI SE REPORTA"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formula1>0</formula1>
    </dataValidation>
    <dataValidation allowBlank="1" showInputMessage="1" showErrorMessage="1" sqref="E49:H49 E52:E57 G52:G57 F57 E21:H21 I26:I28 E28:H28 E35:I35 I33:I34 I40:I42 E42:H42 I47:I4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U189"/>
  <sheetViews>
    <sheetView showGridLines="0" topLeftCell="B1" zoomScale="98" zoomScaleNormal="98" workbookViewId="0">
      <selection activeCell="G23" sqref="G2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 min="9" max="9" width="11.42578125" style="132"/>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111</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86"/>
      <c r="J6" s="5"/>
      <c r="K6" s="5"/>
    </row>
    <row r="7" spans="1:21" ht="15.75" thickBot="1" x14ac:dyDescent="0.3">
      <c r="B7" s="74"/>
      <c r="C7" s="76"/>
      <c r="D7" s="5"/>
      <c r="E7" s="17"/>
      <c r="F7" s="5" t="s">
        <v>880</v>
      </c>
      <c r="G7" s="5"/>
      <c r="H7" s="5"/>
      <c r="I7" s="86"/>
      <c r="J7" s="5"/>
      <c r="K7" s="5"/>
    </row>
    <row r="8" spans="1:21" ht="15.75" thickBot="1" x14ac:dyDescent="0.3">
      <c r="B8" s="171" t="s">
        <v>881</v>
      </c>
      <c r="C8" s="210">
        <v>2022</v>
      </c>
      <c r="D8" s="214">
        <f>IF(E10="NO APLICA","NO APLICA",IF(E11="NO SE REPORTA","SIN INFORMACION",+G114))</f>
        <v>0.81818181818181812</v>
      </c>
      <c r="E8" s="211"/>
      <c r="F8" s="5" t="s">
        <v>882</v>
      </c>
      <c r="G8" s="5"/>
      <c r="H8" s="5"/>
      <c r="I8" s="86"/>
      <c r="J8" s="5"/>
      <c r="K8" s="5"/>
    </row>
    <row r="9" spans="1:21" x14ac:dyDescent="0.25">
      <c r="B9" s="356" t="s">
        <v>883</v>
      </c>
      <c r="C9" s="87"/>
      <c r="D9" s="5"/>
      <c r="E9" s="5"/>
      <c r="F9" s="5"/>
      <c r="G9" s="5"/>
      <c r="H9" s="5"/>
      <c r="I9" s="86"/>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C14" s="87"/>
      <c r="D14" s="5"/>
      <c r="E14" s="5"/>
      <c r="F14" s="5"/>
      <c r="G14" s="5"/>
      <c r="H14" s="5"/>
      <c r="I14" s="86"/>
      <c r="J14" s="5"/>
      <c r="K14" s="5"/>
    </row>
    <row r="15" spans="1:21" x14ac:dyDescent="0.25">
      <c r="B15" s="1423" t="s">
        <v>888</v>
      </c>
      <c r="C15" s="88"/>
      <c r="D15" s="1408" t="s">
        <v>889</v>
      </c>
      <c r="E15" s="1409"/>
      <c r="F15" s="1409"/>
      <c r="G15" s="1409"/>
      <c r="H15" s="1409"/>
      <c r="I15" s="1410"/>
      <c r="J15" s="5"/>
      <c r="K15" s="5"/>
    </row>
    <row r="16" spans="1:21" x14ac:dyDescent="0.25">
      <c r="B16" s="1424"/>
      <c r="C16" s="91"/>
      <c r="D16" s="1562" t="s">
        <v>1799</v>
      </c>
      <c r="E16" s="1563"/>
      <c r="F16" s="1563"/>
      <c r="G16" s="1563"/>
      <c r="H16" s="1563"/>
      <c r="I16" s="1564"/>
      <c r="J16" s="5"/>
      <c r="K16" s="5"/>
    </row>
    <row r="17" spans="2:11" ht="15.75" thickBot="1" x14ac:dyDescent="0.3">
      <c r="B17" s="1424"/>
      <c r="C17" s="91"/>
      <c r="D17" s="1414"/>
      <c r="E17" s="1415"/>
      <c r="F17" s="1415"/>
      <c r="G17" s="1415"/>
      <c r="H17" s="1415"/>
      <c r="I17" s="1416"/>
      <c r="J17" s="5"/>
      <c r="K17" s="5"/>
    </row>
    <row r="18" spans="2:11" ht="36.75" thickBot="1" x14ac:dyDescent="0.3">
      <c r="B18" s="1424"/>
      <c r="C18" s="93"/>
      <c r="D18" s="43" t="s">
        <v>2676</v>
      </c>
      <c r="E18" s="1212">
        <v>82</v>
      </c>
      <c r="F18" s="5"/>
      <c r="G18" s="5"/>
      <c r="H18" s="5"/>
      <c r="I18" s="308"/>
      <c r="J18" s="5"/>
      <c r="K18" s="5"/>
    </row>
    <row r="19" spans="2:11" ht="36.75" thickBot="1" x14ac:dyDescent="0.3">
      <c r="B19" s="1424"/>
      <c r="C19" s="93"/>
      <c r="D19" s="40" t="s">
        <v>1800</v>
      </c>
      <c r="E19" s="1212">
        <v>11</v>
      </c>
      <c r="F19" s="5"/>
      <c r="G19" s="5"/>
      <c r="H19" s="5"/>
      <c r="I19" s="308"/>
      <c r="J19" s="5"/>
      <c r="K19" s="5"/>
    </row>
    <row r="20" spans="2:11" ht="15.75" thickBot="1" x14ac:dyDescent="0.3">
      <c r="B20" s="1424"/>
      <c r="C20" s="91"/>
      <c r="D20" s="1438"/>
      <c r="E20" s="1439"/>
      <c r="F20" s="1439"/>
      <c r="G20" s="1439"/>
      <c r="H20" s="1439"/>
      <c r="I20" s="1440"/>
      <c r="J20" s="5"/>
      <c r="K20" s="5"/>
    </row>
    <row r="21" spans="2:11" ht="15.75" thickBot="1" x14ac:dyDescent="0.3">
      <c r="B21" s="1424"/>
      <c r="C21" s="93"/>
      <c r="D21" s="43" t="s">
        <v>1015</v>
      </c>
      <c r="E21" s="38" t="s">
        <v>909</v>
      </c>
      <c r="F21" s="38" t="s">
        <v>910</v>
      </c>
      <c r="G21" s="38" t="s">
        <v>911</v>
      </c>
      <c r="H21" s="38" t="s">
        <v>912</v>
      </c>
      <c r="I21" s="89" t="s">
        <v>1016</v>
      </c>
      <c r="J21" s="5"/>
      <c r="K21" s="5"/>
    </row>
    <row r="22" spans="2:11" ht="24.75" thickBot="1" x14ac:dyDescent="0.3">
      <c r="B22" s="1424"/>
      <c r="C22" s="93"/>
      <c r="D22" s="40" t="s">
        <v>1801</v>
      </c>
      <c r="E22" s="146">
        <v>22</v>
      </c>
      <c r="F22" s="146">
        <v>87</v>
      </c>
      <c r="G22" s="146">
        <v>11</v>
      </c>
      <c r="H22" s="146"/>
      <c r="I22" s="309">
        <f>SUM(E22:H22)</f>
        <v>120</v>
      </c>
      <c r="J22" s="5"/>
      <c r="K22" s="5"/>
    </row>
    <row r="23" spans="2:11" ht="24.75" thickBot="1" x14ac:dyDescent="0.3">
      <c r="B23" s="1424"/>
      <c r="C23" s="93"/>
      <c r="D23" s="40" t="s">
        <v>1802</v>
      </c>
      <c r="E23" s="146">
        <v>19</v>
      </c>
      <c r="F23" s="146">
        <v>16</v>
      </c>
      <c r="G23" s="146">
        <v>1</v>
      </c>
      <c r="H23" s="146"/>
      <c r="I23" s="309">
        <f>SUM(E23:H23)</f>
        <v>36</v>
      </c>
      <c r="J23" s="5"/>
      <c r="K23" s="5"/>
    </row>
    <row r="24" spans="2:11" ht="24.75" thickBot="1" x14ac:dyDescent="0.3">
      <c r="B24" s="1424"/>
      <c r="C24" s="93"/>
      <c r="D24" s="40" t="s">
        <v>1803</v>
      </c>
      <c r="E24" s="185">
        <f>+E23/E22</f>
        <v>0.86363636363636365</v>
      </c>
      <c r="F24" s="185">
        <f>+F23/F22</f>
        <v>0.18390804597701149</v>
      </c>
      <c r="G24" s="185">
        <f>+G23/G22</f>
        <v>9.0909090909090912E-2</v>
      </c>
      <c r="H24" s="185" t="e">
        <f>+H23/H22</f>
        <v>#DIV/0!</v>
      </c>
      <c r="I24" s="185">
        <f>+I23/I22</f>
        <v>0.3</v>
      </c>
      <c r="J24" s="5"/>
      <c r="K24" s="5"/>
    </row>
    <row r="25" spans="2:11" x14ac:dyDescent="0.25">
      <c r="B25" s="1424"/>
      <c r="C25" s="91"/>
      <c r="D25" s="1408" t="s">
        <v>1804</v>
      </c>
      <c r="E25" s="1409"/>
      <c r="F25" s="1409"/>
      <c r="G25" s="1409"/>
      <c r="H25" s="1409"/>
      <c r="I25" s="1410"/>
      <c r="J25" s="5"/>
      <c r="K25" s="5"/>
    </row>
    <row r="26" spans="2:11" ht="15.75" thickBot="1" x14ac:dyDescent="0.3">
      <c r="B26" s="1424"/>
      <c r="C26" s="91"/>
      <c r="D26" s="1414"/>
      <c r="E26" s="1415"/>
      <c r="F26" s="1415"/>
      <c r="G26" s="1415"/>
      <c r="H26" s="1415"/>
      <c r="I26" s="1416"/>
      <c r="J26" s="5"/>
      <c r="K26" s="5"/>
    </row>
    <row r="27" spans="2:11" ht="48" x14ac:dyDescent="0.25">
      <c r="B27" s="1424"/>
      <c r="C27" s="93"/>
      <c r="D27" s="1410" t="s">
        <v>1805</v>
      </c>
      <c r="E27" s="1423" t="s">
        <v>1806</v>
      </c>
      <c r="F27" s="1423" t="s">
        <v>1807</v>
      </c>
      <c r="G27" s="1423" t="s">
        <v>1808</v>
      </c>
      <c r="H27" s="62" t="s">
        <v>1809</v>
      </c>
      <c r="I27" s="308"/>
      <c r="J27" s="5"/>
      <c r="K27" s="5"/>
    </row>
    <row r="28" spans="2:11" ht="15.75" thickBot="1" x14ac:dyDescent="0.3">
      <c r="B28" s="1424"/>
      <c r="C28" s="93"/>
      <c r="D28" s="1440"/>
      <c r="E28" s="1425"/>
      <c r="F28" s="1425"/>
      <c r="G28" s="1425"/>
      <c r="H28" s="40" t="s">
        <v>1810</v>
      </c>
      <c r="I28" s="308"/>
      <c r="J28" s="5"/>
      <c r="K28" s="5"/>
    </row>
    <row r="29" spans="2:11" ht="15.75" thickBot="1" x14ac:dyDescent="0.3">
      <c r="B29" s="1424"/>
      <c r="C29" s="93"/>
      <c r="D29" s="30" t="s">
        <v>1811</v>
      </c>
      <c r="E29" s="146">
        <v>72</v>
      </c>
      <c r="F29" s="146"/>
      <c r="G29" s="146"/>
      <c r="H29" s="146">
        <v>1</v>
      </c>
      <c r="I29" s="308"/>
      <c r="J29" s="5"/>
      <c r="K29" s="5"/>
    </row>
    <row r="30" spans="2:11" ht="15.75" thickBot="1" x14ac:dyDescent="0.3">
      <c r="B30" s="1424"/>
      <c r="C30" s="93"/>
      <c r="D30" s="30" t="s">
        <v>1812</v>
      </c>
      <c r="E30" s="146"/>
      <c r="F30" s="146"/>
      <c r="G30" s="146"/>
      <c r="H30" s="146"/>
      <c r="I30" s="308"/>
      <c r="J30" s="5"/>
      <c r="K30" s="5"/>
    </row>
    <row r="31" spans="2:11" ht="15.75" thickBot="1" x14ac:dyDescent="0.3">
      <c r="B31" s="1424"/>
      <c r="C31" s="93"/>
      <c r="D31" s="30" t="s">
        <v>1813</v>
      </c>
      <c r="E31" s="146">
        <v>1</v>
      </c>
      <c r="F31" s="146"/>
      <c r="G31" s="146"/>
      <c r="H31" s="146"/>
      <c r="I31" s="308"/>
      <c r="J31" s="5"/>
      <c r="K31" s="5"/>
    </row>
    <row r="32" spans="2:11" ht="15.75" thickBot="1" x14ac:dyDescent="0.3">
      <c r="B32" s="1424"/>
      <c r="C32" s="93"/>
      <c r="D32" s="30"/>
      <c r="E32" s="146"/>
      <c r="F32" s="146"/>
      <c r="G32" s="146"/>
      <c r="H32" s="146"/>
      <c r="I32" s="308"/>
      <c r="J32" s="5"/>
      <c r="K32" s="5"/>
    </row>
    <row r="33" spans="2:11" ht="15.75" thickBot="1" x14ac:dyDescent="0.3">
      <c r="B33" s="1424"/>
      <c r="C33" s="93"/>
      <c r="D33" s="40" t="s">
        <v>1016</v>
      </c>
      <c r="E33" s="310">
        <f>SUM(E29:E32)</f>
        <v>73</v>
      </c>
      <c r="F33" s="310">
        <f>SUM(F29:F32)</f>
        <v>0</v>
      </c>
      <c r="G33" s="310">
        <f>SUM(G29:G32)</f>
        <v>0</v>
      </c>
      <c r="H33" s="310">
        <f>SUM(H29:H32)</f>
        <v>1</v>
      </c>
      <c r="I33" s="308"/>
      <c r="J33" s="5"/>
      <c r="K33" s="5"/>
    </row>
    <row r="34" spans="2:11" x14ac:dyDescent="0.25">
      <c r="B34" s="1424"/>
      <c r="C34" s="91"/>
      <c r="D34" s="1414"/>
      <c r="E34" s="1415"/>
      <c r="F34" s="1415"/>
      <c r="G34" s="1415"/>
      <c r="H34" s="1415"/>
      <c r="I34" s="1416"/>
      <c r="J34" s="5"/>
      <c r="K34" s="5"/>
    </row>
    <row r="35" spans="2:11" x14ac:dyDescent="0.25">
      <c r="B35" s="1424"/>
      <c r="C35" s="91"/>
      <c r="D35" s="1562" t="s">
        <v>1814</v>
      </c>
      <c r="E35" s="1563"/>
      <c r="F35" s="1563"/>
      <c r="G35" s="1563"/>
      <c r="H35" s="1563"/>
      <c r="I35" s="1564"/>
      <c r="J35" s="5"/>
      <c r="K35" s="5"/>
    </row>
    <row r="36" spans="2:11" ht="15.75" thickBot="1" x14ac:dyDescent="0.3">
      <c r="B36" s="1424"/>
      <c r="C36" s="91"/>
      <c r="D36" s="1414"/>
      <c r="E36" s="1415"/>
      <c r="F36" s="1415"/>
      <c r="G36" s="1415"/>
      <c r="H36" s="1415"/>
      <c r="I36" s="1416"/>
      <c r="J36" s="5"/>
      <c r="K36" s="5"/>
    </row>
    <row r="37" spans="2:11" ht="15.75" thickBot="1" x14ac:dyDescent="0.3">
      <c r="B37" s="1424"/>
      <c r="C37" s="93"/>
      <c r="D37" s="43" t="s">
        <v>1015</v>
      </c>
      <c r="E37" s="38" t="s">
        <v>1815</v>
      </c>
      <c r="F37" s="5"/>
      <c r="G37" s="5"/>
      <c r="H37" s="5"/>
      <c r="I37" s="308"/>
      <c r="J37" s="5"/>
      <c r="K37" s="5"/>
    </row>
    <row r="38" spans="2:11" ht="15.75" thickBot="1" x14ac:dyDescent="0.3">
      <c r="B38" s="1424"/>
      <c r="C38" s="93"/>
      <c r="D38" s="40" t="s">
        <v>2668</v>
      </c>
      <c r="E38" s="146">
        <v>97</v>
      </c>
      <c r="F38" s="5"/>
      <c r="G38" s="5"/>
      <c r="H38" s="5"/>
      <c r="I38" s="308"/>
      <c r="J38" s="5"/>
      <c r="K38" s="5"/>
    </row>
    <row r="39" spans="2:11" ht="24.75" thickBot="1" x14ac:dyDescent="0.3">
      <c r="B39" s="1424"/>
      <c r="C39" s="93"/>
      <c r="D39" s="40" t="s">
        <v>2669</v>
      </c>
      <c r="E39" s="146">
        <v>97</v>
      </c>
      <c r="F39" s="5"/>
      <c r="G39" s="5"/>
      <c r="H39" s="5"/>
      <c r="I39" s="308"/>
      <c r="J39" s="5"/>
      <c r="K39" s="5"/>
    </row>
    <row r="40" spans="2:11" ht="24.75" thickBot="1" x14ac:dyDescent="0.3">
      <c r="B40" s="1424"/>
      <c r="C40" s="93"/>
      <c r="D40" s="40" t="s">
        <v>2670</v>
      </c>
      <c r="E40" s="146"/>
      <c r="F40" s="5"/>
      <c r="G40" s="5"/>
      <c r="H40" s="5"/>
      <c r="I40" s="308"/>
      <c r="J40" s="5"/>
      <c r="K40" s="5"/>
    </row>
    <row r="41" spans="2:11" x14ac:dyDescent="0.25">
      <c r="B41" s="1424"/>
      <c r="C41" s="91"/>
      <c r="D41" s="1414"/>
      <c r="E41" s="1415"/>
      <c r="F41" s="1415"/>
      <c r="G41" s="1415"/>
      <c r="H41" s="1415"/>
      <c r="I41" s="1416"/>
      <c r="J41" s="5"/>
      <c r="K41" s="5"/>
    </row>
    <row r="42" spans="2:11" x14ac:dyDescent="0.25">
      <c r="B42" s="1424"/>
      <c r="C42" s="91"/>
      <c r="D42" s="1414" t="s">
        <v>1816</v>
      </c>
      <c r="E42" s="1415"/>
      <c r="F42" s="1415"/>
      <c r="G42" s="1415"/>
      <c r="H42" s="1415"/>
      <c r="I42" s="1416"/>
      <c r="J42" s="5"/>
      <c r="K42" s="5"/>
    </row>
    <row r="43" spans="2:11" ht="15.75" thickBot="1" x14ac:dyDescent="0.3">
      <c r="B43" s="1424"/>
      <c r="C43" s="91"/>
      <c r="D43" s="1438"/>
      <c r="E43" s="1439"/>
      <c r="F43" s="1439"/>
      <c r="G43" s="1439"/>
      <c r="H43" s="1439"/>
      <c r="I43" s="1440"/>
      <c r="J43" s="5"/>
      <c r="K43" s="5"/>
    </row>
    <row r="44" spans="2:11" ht="15.75" thickBot="1" x14ac:dyDescent="0.3">
      <c r="B44" s="1424"/>
      <c r="C44" s="93"/>
      <c r="D44" s="43" t="s">
        <v>1015</v>
      </c>
      <c r="E44" s="38" t="s">
        <v>909</v>
      </c>
      <c r="F44" s="38" t="s">
        <v>910</v>
      </c>
      <c r="G44" s="38" t="s">
        <v>911</v>
      </c>
      <c r="H44" s="38" t="s">
        <v>912</v>
      </c>
      <c r="I44" s="89" t="s">
        <v>1016</v>
      </c>
      <c r="J44" s="5"/>
      <c r="K44" s="5"/>
    </row>
    <row r="45" spans="2:11" ht="24.75" thickBot="1" x14ac:dyDescent="0.3">
      <c r="B45" s="1424"/>
      <c r="C45" s="93"/>
      <c r="D45" s="40" t="s">
        <v>1817</v>
      </c>
      <c r="E45" s="146">
        <v>14</v>
      </c>
      <c r="F45" s="146">
        <v>80</v>
      </c>
      <c r="G45" s="146">
        <v>41</v>
      </c>
      <c r="H45" s="146"/>
      <c r="I45" s="310">
        <f>SUM(E45:H45)</f>
        <v>135</v>
      </c>
      <c r="J45" s="5"/>
      <c r="K45" s="5"/>
    </row>
    <row r="46" spans="2:11" ht="24.75" thickBot="1" x14ac:dyDescent="0.3">
      <c r="B46" s="1424"/>
      <c r="C46" s="93"/>
      <c r="D46" s="40" t="s">
        <v>1818</v>
      </c>
      <c r="E46" s="146">
        <v>14</v>
      </c>
      <c r="F46" s="146">
        <v>30</v>
      </c>
      <c r="G46" s="146">
        <v>41</v>
      </c>
      <c r="H46" s="146"/>
      <c r="I46" s="310">
        <f>SUM(E46:H46)</f>
        <v>85</v>
      </c>
      <c r="J46" s="5"/>
      <c r="K46" s="5"/>
    </row>
    <row r="47" spans="2:11" ht="24.75" thickBot="1" x14ac:dyDescent="0.3">
      <c r="B47" s="1424"/>
      <c r="C47" s="93"/>
      <c r="D47" s="40" t="s">
        <v>1819</v>
      </c>
      <c r="E47" s="185">
        <f>+E46/E45</f>
        <v>1</v>
      </c>
      <c r="F47" s="185">
        <f>+F46/F45</f>
        <v>0.375</v>
      </c>
      <c r="G47" s="185">
        <f>+G46/G45</f>
        <v>1</v>
      </c>
      <c r="H47" s="185" t="e">
        <f>+H46/H45</f>
        <v>#DIV/0!</v>
      </c>
      <c r="I47" s="185">
        <f>+I46/I45</f>
        <v>0.62962962962962965</v>
      </c>
      <c r="J47" s="5"/>
      <c r="K47" s="5"/>
    </row>
    <row r="48" spans="2:11" x14ac:dyDescent="0.25">
      <c r="B48" s="1424"/>
      <c r="C48" s="91"/>
      <c r="D48" s="1408"/>
      <c r="E48" s="1409"/>
      <c r="F48" s="1409"/>
      <c r="G48" s="1409"/>
      <c r="H48" s="1409"/>
      <c r="I48" s="1410"/>
      <c r="J48" s="5"/>
      <c r="K48" s="5"/>
    </row>
    <row r="49" spans="2:11" x14ac:dyDescent="0.25">
      <c r="B49" s="1424"/>
      <c r="C49" s="91"/>
      <c r="D49" s="1414" t="s">
        <v>1820</v>
      </c>
      <c r="E49" s="1415"/>
      <c r="F49" s="1415"/>
      <c r="G49" s="1415"/>
      <c r="H49" s="1415"/>
      <c r="I49" s="1416"/>
      <c r="J49" s="5"/>
      <c r="K49" s="5"/>
    </row>
    <row r="50" spans="2:11" ht="15.75" thickBot="1" x14ac:dyDescent="0.3">
      <c r="B50" s="1424"/>
      <c r="C50" s="91"/>
      <c r="D50" s="1438"/>
      <c r="E50" s="1439"/>
      <c r="F50" s="1439"/>
      <c r="G50" s="1439"/>
      <c r="H50" s="1439"/>
      <c r="I50" s="1440"/>
      <c r="J50" s="5"/>
      <c r="K50" s="5"/>
    </row>
    <row r="51" spans="2:11" ht="15.75" thickBot="1" x14ac:dyDescent="0.3">
      <c r="B51" s="1424"/>
      <c r="C51" s="93"/>
      <c r="D51" s="43" t="s">
        <v>1015</v>
      </c>
      <c r="E51" s="38" t="s">
        <v>909</v>
      </c>
      <c r="F51" s="38" t="s">
        <v>910</v>
      </c>
      <c r="G51" s="38" t="s">
        <v>911</v>
      </c>
      <c r="H51" s="38" t="s">
        <v>912</v>
      </c>
      <c r="I51" s="89" t="s">
        <v>1016</v>
      </c>
      <c r="J51" s="5"/>
      <c r="K51" s="5"/>
    </row>
    <row r="52" spans="2:11" ht="24.75" thickBot="1" x14ac:dyDescent="0.3">
      <c r="B52" s="1424"/>
      <c r="C52" s="93"/>
      <c r="D52" s="40" t="s">
        <v>1821</v>
      </c>
      <c r="E52" s="146"/>
      <c r="F52" s="146"/>
      <c r="G52" s="146">
        <v>46136600</v>
      </c>
      <c r="H52" s="146"/>
      <c r="I52" s="310">
        <f>SUM(E52:H52)</f>
        <v>46136600</v>
      </c>
      <c r="J52" s="5"/>
      <c r="K52" s="5"/>
    </row>
    <row r="53" spans="2:11" ht="24.75" thickBot="1" x14ac:dyDescent="0.3">
      <c r="B53" s="1424"/>
      <c r="C53" s="93"/>
      <c r="D53" s="40" t="s">
        <v>1822</v>
      </c>
      <c r="E53" s="146"/>
      <c r="F53" s="146"/>
      <c r="G53" s="146">
        <v>46136600</v>
      </c>
      <c r="H53" s="146"/>
      <c r="I53" s="310">
        <f>SUM(E53:H53)</f>
        <v>46136600</v>
      </c>
      <c r="J53" s="5"/>
      <c r="K53" s="5"/>
    </row>
    <row r="54" spans="2:11" ht="24.75" thickBot="1" x14ac:dyDescent="0.3">
      <c r="B54" s="1424"/>
      <c r="C54" s="93"/>
      <c r="D54" s="40" t="s">
        <v>1823</v>
      </c>
      <c r="E54" s="185" t="e">
        <f>+E53/E52</f>
        <v>#DIV/0!</v>
      </c>
      <c r="F54" s="185" t="e">
        <f>+F53/F52</f>
        <v>#DIV/0!</v>
      </c>
      <c r="G54" s="185">
        <f>+G53/G52</f>
        <v>1</v>
      </c>
      <c r="H54" s="185" t="e">
        <f>+H53/H52</f>
        <v>#DIV/0!</v>
      </c>
      <c r="I54" s="185">
        <f>+I53/I52</f>
        <v>1</v>
      </c>
      <c r="J54" s="5"/>
      <c r="K54" s="5"/>
    </row>
    <row r="55" spans="2:11" x14ac:dyDescent="0.25">
      <c r="B55" s="1424"/>
      <c r="C55" s="91"/>
      <c r="D55" s="1408"/>
      <c r="E55" s="1409"/>
      <c r="F55" s="1409"/>
      <c r="G55" s="1409"/>
      <c r="H55" s="1409"/>
      <c r="I55" s="1410"/>
      <c r="J55" s="5"/>
      <c r="K55" s="5"/>
    </row>
    <row r="56" spans="2:11" x14ac:dyDescent="0.25">
      <c r="B56" s="1424"/>
      <c r="C56" s="91"/>
      <c r="D56" s="1562" t="s">
        <v>1824</v>
      </c>
      <c r="E56" s="1563"/>
      <c r="F56" s="1563"/>
      <c r="G56" s="1563"/>
      <c r="H56" s="1563"/>
      <c r="I56" s="1564"/>
      <c r="J56" s="5"/>
      <c r="K56" s="5"/>
    </row>
    <row r="57" spans="2:11" ht="15.75" thickBot="1" x14ac:dyDescent="0.3">
      <c r="B57" s="1424"/>
      <c r="C57" s="91"/>
      <c r="D57" s="1414"/>
      <c r="E57" s="1415"/>
      <c r="F57" s="1415"/>
      <c r="G57" s="1415"/>
      <c r="H57" s="1415"/>
      <c r="I57" s="1416"/>
      <c r="J57" s="5"/>
      <c r="K57" s="5"/>
    </row>
    <row r="58" spans="2:11" ht="15.75" thickBot="1" x14ac:dyDescent="0.3">
      <c r="B58" s="1424"/>
      <c r="C58" s="93"/>
      <c r="D58" s="43" t="s">
        <v>1015</v>
      </c>
      <c r="E58" s="38" t="s">
        <v>1815</v>
      </c>
      <c r="F58" s="5"/>
      <c r="G58" s="5"/>
      <c r="H58" s="5"/>
      <c r="I58" s="308"/>
      <c r="J58" s="5"/>
      <c r="K58" s="5"/>
    </row>
    <row r="59" spans="2:11" ht="24.75" thickBot="1" x14ac:dyDescent="0.3">
      <c r="B59" s="1424"/>
      <c r="C59" s="93"/>
      <c r="D59" s="40" t="s">
        <v>2671</v>
      </c>
      <c r="E59" s="146">
        <v>61</v>
      </c>
      <c r="F59" s="5"/>
      <c r="G59" s="5"/>
      <c r="H59" s="5"/>
      <c r="I59" s="308"/>
      <c r="J59" s="5"/>
      <c r="K59" s="5"/>
    </row>
    <row r="60" spans="2:11" ht="24.75" thickBot="1" x14ac:dyDescent="0.3">
      <c r="B60" s="1424"/>
      <c r="C60" s="93"/>
      <c r="D60" s="40" t="s">
        <v>2672</v>
      </c>
      <c r="E60" s="146">
        <v>52</v>
      </c>
      <c r="F60" s="5"/>
      <c r="G60" s="5"/>
      <c r="H60" s="5"/>
      <c r="I60" s="308"/>
      <c r="J60" s="5"/>
      <c r="K60" s="5"/>
    </row>
    <row r="61" spans="2:11" ht="24.75" thickBot="1" x14ac:dyDescent="0.3">
      <c r="B61" s="1424"/>
      <c r="C61" s="93"/>
      <c r="D61" s="40" t="s">
        <v>2673</v>
      </c>
      <c r="E61" s="146"/>
      <c r="F61" s="5"/>
      <c r="G61" s="5"/>
      <c r="H61" s="5"/>
      <c r="I61" s="308"/>
      <c r="J61" s="5"/>
      <c r="K61" s="5"/>
    </row>
    <row r="62" spans="2:11" x14ac:dyDescent="0.25">
      <c r="B62" s="1424"/>
      <c r="C62" s="91"/>
      <c r="D62" s="1414"/>
      <c r="E62" s="1415"/>
      <c r="F62" s="1415"/>
      <c r="G62" s="1415"/>
      <c r="H62" s="1415"/>
      <c r="I62" s="1416"/>
      <c r="J62" s="5"/>
      <c r="K62" s="5"/>
    </row>
    <row r="63" spans="2:11" x14ac:dyDescent="0.25">
      <c r="B63" s="1424"/>
      <c r="C63" s="91"/>
      <c r="D63" s="1414" t="s">
        <v>1825</v>
      </c>
      <c r="E63" s="1415"/>
      <c r="F63" s="1415"/>
      <c r="G63" s="1415"/>
      <c r="H63" s="1415"/>
      <c r="I63" s="1416"/>
      <c r="J63" s="5"/>
      <c r="K63" s="5"/>
    </row>
    <row r="64" spans="2:11" ht="15.75" thickBot="1" x14ac:dyDescent="0.3">
      <c r="B64" s="1424"/>
      <c r="C64" s="91"/>
      <c r="D64" s="1438"/>
      <c r="E64" s="1439"/>
      <c r="F64" s="1439"/>
      <c r="G64" s="1439"/>
      <c r="H64" s="1439"/>
      <c r="I64" s="1440"/>
      <c r="J64" s="5"/>
      <c r="K64" s="5"/>
    </row>
    <row r="65" spans="2:11" ht="15.75" thickBot="1" x14ac:dyDescent="0.3">
      <c r="B65" s="1424"/>
      <c r="C65" s="93"/>
      <c r="D65" s="43" t="s">
        <v>1015</v>
      </c>
      <c r="E65" s="38" t="s">
        <v>909</v>
      </c>
      <c r="F65" s="38" t="s">
        <v>910</v>
      </c>
      <c r="G65" s="38" t="s">
        <v>911</v>
      </c>
      <c r="H65" s="38" t="s">
        <v>912</v>
      </c>
      <c r="I65" s="89" t="s">
        <v>1016</v>
      </c>
      <c r="J65" s="5"/>
      <c r="K65" s="5"/>
    </row>
    <row r="66" spans="2:11" ht="36.75" thickBot="1" x14ac:dyDescent="0.3">
      <c r="B66" s="1424"/>
      <c r="C66" s="93"/>
      <c r="D66" s="40" t="s">
        <v>1826</v>
      </c>
      <c r="E66" s="146">
        <v>5</v>
      </c>
      <c r="F66" s="146">
        <v>31</v>
      </c>
      <c r="G66" s="146">
        <v>25</v>
      </c>
      <c r="H66" s="146"/>
      <c r="I66" s="310">
        <f>SUM(E66:H66)</f>
        <v>61</v>
      </c>
      <c r="J66" s="5"/>
      <c r="K66" s="5"/>
    </row>
    <row r="67" spans="2:11" ht="24.75" thickBot="1" x14ac:dyDescent="0.3">
      <c r="B67" s="1424"/>
      <c r="C67" s="93"/>
      <c r="D67" s="40" t="s">
        <v>1827</v>
      </c>
      <c r="E67" s="146">
        <v>5</v>
      </c>
      <c r="F67" s="146">
        <v>26</v>
      </c>
      <c r="G67" s="146">
        <v>25</v>
      </c>
      <c r="H67" s="146"/>
      <c r="I67" s="310">
        <f>SUM(E67:H67)</f>
        <v>56</v>
      </c>
      <c r="J67" s="5"/>
      <c r="K67" s="5"/>
    </row>
    <row r="68" spans="2:11" ht="24.75" thickBot="1" x14ac:dyDescent="0.3">
      <c r="B68" s="1424"/>
      <c r="C68" s="93"/>
      <c r="D68" s="40" t="s">
        <v>1828</v>
      </c>
      <c r="E68" s="185">
        <f>+E67/E66</f>
        <v>1</v>
      </c>
      <c r="F68" s="185">
        <f>+F67/F66</f>
        <v>0.83870967741935487</v>
      </c>
      <c r="G68" s="185">
        <f>+G67/G66</f>
        <v>1</v>
      </c>
      <c r="H68" s="185" t="e">
        <f>+H67/H66</f>
        <v>#DIV/0!</v>
      </c>
      <c r="I68" s="185">
        <f>+I67/I66</f>
        <v>0.91803278688524592</v>
      </c>
      <c r="J68" s="5"/>
      <c r="K68" s="5"/>
    </row>
    <row r="69" spans="2:11" ht="15.75" thickBot="1" x14ac:dyDescent="0.3">
      <c r="B69" s="1424"/>
      <c r="C69" s="100"/>
      <c r="D69" s="129"/>
      <c r="E69" s="311"/>
      <c r="F69" s="311"/>
      <c r="G69" s="311"/>
      <c r="H69" s="311"/>
      <c r="I69" s="312"/>
      <c r="J69" s="5"/>
      <c r="K69" s="5"/>
    </row>
    <row r="70" spans="2:11" x14ac:dyDescent="0.25">
      <c r="B70" s="1424"/>
      <c r="C70" s="91"/>
      <c r="D70" s="1408" t="s">
        <v>1829</v>
      </c>
      <c r="E70" s="1409"/>
      <c r="F70" s="1409"/>
      <c r="G70" s="1409"/>
      <c r="H70" s="1409"/>
      <c r="I70" s="1410"/>
      <c r="J70" s="5"/>
      <c r="K70" s="5"/>
    </row>
    <row r="71" spans="2:11" ht="15.75" thickBot="1" x14ac:dyDescent="0.3">
      <c r="B71" s="1424"/>
      <c r="C71" s="91"/>
      <c r="D71" s="1438"/>
      <c r="E71" s="1439"/>
      <c r="F71" s="1439"/>
      <c r="G71" s="1439"/>
      <c r="H71" s="1439"/>
      <c r="I71" s="1440"/>
      <c r="J71" s="5"/>
      <c r="K71" s="5"/>
    </row>
    <row r="72" spans="2:11" ht="15.75" thickBot="1" x14ac:dyDescent="0.3">
      <c r="B72" s="1424"/>
      <c r="C72" s="93"/>
      <c r="D72" s="43" t="s">
        <v>1015</v>
      </c>
      <c r="E72" s="38" t="s">
        <v>909</v>
      </c>
      <c r="F72" s="38" t="s">
        <v>910</v>
      </c>
      <c r="G72" s="38" t="s">
        <v>911</v>
      </c>
      <c r="H72" s="38" t="s">
        <v>912</v>
      </c>
      <c r="I72" s="89" t="s">
        <v>1016</v>
      </c>
      <c r="J72" s="5"/>
      <c r="K72" s="5"/>
    </row>
    <row r="73" spans="2:11" ht="24.75" thickBot="1" x14ac:dyDescent="0.3">
      <c r="B73" s="1424"/>
      <c r="C73" s="93"/>
      <c r="D73" s="40" t="s">
        <v>1830</v>
      </c>
      <c r="E73" s="146"/>
      <c r="F73" s="146"/>
      <c r="G73" s="146">
        <v>1006061</v>
      </c>
      <c r="H73" s="146"/>
      <c r="I73" s="310">
        <f>SUM(E73:H73)</f>
        <v>1006061</v>
      </c>
      <c r="J73" s="5"/>
      <c r="K73" s="5"/>
    </row>
    <row r="74" spans="2:11" ht="24.75" thickBot="1" x14ac:dyDescent="0.3">
      <c r="B74" s="1424"/>
      <c r="C74" s="93"/>
      <c r="D74" s="40" t="s">
        <v>1831</v>
      </c>
      <c r="E74" s="146"/>
      <c r="F74" s="146"/>
      <c r="G74" s="146">
        <v>1006061</v>
      </c>
      <c r="H74" s="146"/>
      <c r="I74" s="310">
        <f>SUM(E74:H74)</f>
        <v>1006061</v>
      </c>
      <c r="J74" s="5"/>
      <c r="K74" s="5"/>
    </row>
    <row r="75" spans="2:11" ht="24.75" thickBot="1" x14ac:dyDescent="0.3">
      <c r="B75" s="1424"/>
      <c r="C75" s="93"/>
      <c r="D75" s="40" t="s">
        <v>1832</v>
      </c>
      <c r="E75" s="185" t="e">
        <f>+E74/E73</f>
        <v>#DIV/0!</v>
      </c>
      <c r="F75" s="185" t="e">
        <f>+F74/F73</f>
        <v>#DIV/0!</v>
      </c>
      <c r="G75" s="185">
        <f>+G74/G73</f>
        <v>1</v>
      </c>
      <c r="H75" s="185" t="e">
        <f>+H74/H73</f>
        <v>#DIV/0!</v>
      </c>
      <c r="I75" s="185">
        <f>+I74/I73</f>
        <v>1</v>
      </c>
      <c r="J75" s="5"/>
      <c r="K75" s="5"/>
    </row>
    <row r="76" spans="2:11" x14ac:dyDescent="0.25">
      <c r="B76" s="1424"/>
      <c r="C76" s="91"/>
      <c r="D76" s="1408"/>
      <c r="E76" s="1409"/>
      <c r="F76" s="1409"/>
      <c r="G76" s="1409"/>
      <c r="H76" s="1409"/>
      <c r="I76" s="1410"/>
      <c r="J76" s="5"/>
      <c r="K76" s="5"/>
    </row>
    <row r="77" spans="2:11" ht="15.75" thickBot="1" x14ac:dyDescent="0.3">
      <c r="B77" s="1424"/>
      <c r="C77" s="91"/>
      <c r="D77" s="1562" t="s">
        <v>1833</v>
      </c>
      <c r="E77" s="1563"/>
      <c r="F77" s="1563"/>
      <c r="G77" s="1563"/>
      <c r="H77" s="1563"/>
      <c r="I77" s="1564"/>
      <c r="J77" s="5"/>
      <c r="K77" s="5"/>
    </row>
    <row r="78" spans="2:11" ht="15.75" thickBot="1" x14ac:dyDescent="0.3">
      <c r="B78" s="1424"/>
      <c r="C78" s="93"/>
      <c r="D78" s="43" t="s">
        <v>1015</v>
      </c>
      <c r="E78" s="38" t="s">
        <v>1815</v>
      </c>
      <c r="F78" s="5"/>
      <c r="G78" s="5"/>
      <c r="H78" s="5"/>
      <c r="I78" s="308"/>
      <c r="J78" s="5"/>
      <c r="K78" s="5"/>
    </row>
    <row r="79" spans="2:11" ht="24.75" thickBot="1" x14ac:dyDescent="0.3">
      <c r="B79" s="1424"/>
      <c r="C79" s="93"/>
      <c r="D79" s="40" t="s">
        <v>2674</v>
      </c>
      <c r="E79" s="146">
        <v>28</v>
      </c>
      <c r="F79" s="5"/>
      <c r="G79" s="5"/>
      <c r="H79" s="5"/>
      <c r="I79" s="308"/>
      <c r="J79" s="5"/>
      <c r="K79" s="5"/>
    </row>
    <row r="80" spans="2:11" ht="24.75" thickBot="1" x14ac:dyDescent="0.3">
      <c r="B80" s="1424"/>
      <c r="C80" s="93"/>
      <c r="D80" s="40" t="s">
        <v>2675</v>
      </c>
      <c r="E80" s="146">
        <v>28</v>
      </c>
      <c r="F80" s="5"/>
      <c r="G80" s="5"/>
      <c r="H80" s="5"/>
      <c r="I80" s="308"/>
      <c r="J80" s="5"/>
      <c r="K80" s="5"/>
    </row>
    <row r="81" spans="2:11" x14ac:dyDescent="0.25">
      <c r="B81" s="1424"/>
      <c r="C81" s="91"/>
      <c r="D81" s="1414"/>
      <c r="E81" s="1415"/>
      <c r="F81" s="1415"/>
      <c r="G81" s="1415"/>
      <c r="H81" s="1415"/>
      <c r="I81" s="1416"/>
      <c r="J81" s="5"/>
      <c r="K81" s="5"/>
    </row>
    <row r="82" spans="2:11" ht="15.75" thickBot="1" x14ac:dyDescent="0.3">
      <c r="B82" s="1424"/>
      <c r="C82" s="91"/>
      <c r="D82" s="1438" t="s">
        <v>1834</v>
      </c>
      <c r="E82" s="1439"/>
      <c r="F82" s="1439"/>
      <c r="G82" s="1439"/>
      <c r="H82" s="1439"/>
      <c r="I82" s="1440"/>
      <c r="J82" s="5"/>
      <c r="K82" s="5"/>
    </row>
    <row r="83" spans="2:11" ht="15.75" thickBot="1" x14ac:dyDescent="0.3">
      <c r="B83" s="1424"/>
      <c r="C83" s="93"/>
      <c r="D83" s="43" t="s">
        <v>1015</v>
      </c>
      <c r="E83" s="38" t="s">
        <v>909</v>
      </c>
      <c r="F83" s="38" t="s">
        <v>910</v>
      </c>
      <c r="G83" s="38" t="s">
        <v>911</v>
      </c>
      <c r="H83" s="38" t="s">
        <v>912</v>
      </c>
      <c r="I83" s="89" t="s">
        <v>1016</v>
      </c>
      <c r="J83" s="5"/>
      <c r="K83" s="5"/>
    </row>
    <row r="84" spans="2:11" ht="36.75" thickBot="1" x14ac:dyDescent="0.3">
      <c r="B84" s="1424"/>
      <c r="C84" s="93"/>
      <c r="D84" s="40" t="s">
        <v>1835</v>
      </c>
      <c r="E84" s="146">
        <v>10</v>
      </c>
      <c r="F84" s="146">
        <v>70</v>
      </c>
      <c r="G84" s="146">
        <v>10</v>
      </c>
      <c r="H84" s="146"/>
      <c r="I84" s="310">
        <f>SUM(E84:H84)</f>
        <v>90</v>
      </c>
      <c r="J84" s="5"/>
      <c r="K84" s="5"/>
    </row>
    <row r="85" spans="2:11" ht="24.75" thickBot="1" x14ac:dyDescent="0.3">
      <c r="B85" s="1424"/>
      <c r="C85" s="93"/>
      <c r="D85" s="40" t="s">
        <v>1836</v>
      </c>
      <c r="E85" s="146">
        <v>0</v>
      </c>
      <c r="F85" s="146">
        <v>32</v>
      </c>
      <c r="G85" s="146">
        <v>10</v>
      </c>
      <c r="H85" s="146"/>
      <c r="I85" s="310">
        <f>SUM(E85:H85)</f>
        <v>42</v>
      </c>
      <c r="J85" s="5"/>
      <c r="K85" s="5"/>
    </row>
    <row r="86" spans="2:11" ht="36.75" thickBot="1" x14ac:dyDescent="0.3">
      <c r="B86" s="1424"/>
      <c r="C86" s="93"/>
      <c r="D86" s="40" t="s">
        <v>1837</v>
      </c>
      <c r="E86" s="185">
        <f>+E85/E84</f>
        <v>0</v>
      </c>
      <c r="F86" s="185">
        <f>+F85/F84</f>
        <v>0.45714285714285713</v>
      </c>
      <c r="G86" s="185">
        <f>+G85/G84</f>
        <v>1</v>
      </c>
      <c r="H86" s="185" t="e">
        <f>+H85/H84</f>
        <v>#DIV/0!</v>
      </c>
      <c r="I86" s="185">
        <f>+I85/I84</f>
        <v>0.46666666666666667</v>
      </c>
      <c r="J86" s="5"/>
      <c r="K86" s="5"/>
    </row>
    <row r="87" spans="2:11" x14ac:dyDescent="0.25">
      <c r="B87" s="1424"/>
      <c r="C87" s="91"/>
      <c r="D87" s="1408"/>
      <c r="E87" s="1409"/>
      <c r="F87" s="1409"/>
      <c r="G87" s="1409"/>
      <c r="H87" s="1409"/>
      <c r="I87" s="1410"/>
      <c r="J87" s="5"/>
      <c r="K87" s="5"/>
    </row>
    <row r="88" spans="2:11" x14ac:dyDescent="0.25">
      <c r="B88" s="1424"/>
      <c r="C88" s="91"/>
      <c r="D88" s="1414" t="s">
        <v>1838</v>
      </c>
      <c r="E88" s="1415"/>
      <c r="F88" s="1415"/>
      <c r="G88" s="1415"/>
      <c r="H88" s="1415"/>
      <c r="I88" s="1416"/>
      <c r="J88" s="5"/>
      <c r="K88" s="5"/>
    </row>
    <row r="89" spans="2:11" ht="15.75" thickBot="1" x14ac:dyDescent="0.3">
      <c r="B89" s="1424"/>
      <c r="C89" s="91"/>
      <c r="D89" s="1438"/>
      <c r="E89" s="1439"/>
      <c r="F89" s="1439"/>
      <c r="G89" s="1439"/>
      <c r="H89" s="1439"/>
      <c r="I89" s="1440"/>
      <c r="J89" s="5"/>
      <c r="K89" s="5"/>
    </row>
    <row r="90" spans="2:11" ht="15.75" thickBot="1" x14ac:dyDescent="0.3">
      <c r="B90" s="1424"/>
      <c r="C90" s="93"/>
      <c r="D90" s="43" t="s">
        <v>1015</v>
      </c>
      <c r="E90" s="38" t="s">
        <v>909</v>
      </c>
      <c r="F90" s="38" t="s">
        <v>910</v>
      </c>
      <c r="G90" s="38" t="s">
        <v>911</v>
      </c>
      <c r="H90" s="38" t="s">
        <v>912</v>
      </c>
      <c r="I90" s="89" t="s">
        <v>1016</v>
      </c>
      <c r="J90" s="5"/>
      <c r="K90" s="5"/>
    </row>
    <row r="91" spans="2:11" ht="24.75" thickBot="1" x14ac:dyDescent="0.3">
      <c r="B91" s="1424"/>
      <c r="C91" s="93"/>
      <c r="D91" s="40" t="s">
        <v>1839</v>
      </c>
      <c r="E91" s="146"/>
      <c r="F91" s="146"/>
      <c r="G91" s="146"/>
      <c r="H91" s="146"/>
      <c r="I91" s="310">
        <f>SUM(E91:H91)</f>
        <v>0</v>
      </c>
      <c r="J91" s="5"/>
      <c r="K91" s="5"/>
    </row>
    <row r="92" spans="2:11" ht="24.75" thickBot="1" x14ac:dyDescent="0.3">
      <c r="B92" s="1424"/>
      <c r="C92" s="93"/>
      <c r="D92" s="40" t="s">
        <v>1840</v>
      </c>
      <c r="E92" s="146"/>
      <c r="F92" s="146"/>
      <c r="G92" s="146"/>
      <c r="H92" s="146"/>
      <c r="I92" s="310">
        <f>SUM(E92:H92)</f>
        <v>0</v>
      </c>
      <c r="J92" s="5"/>
      <c r="K92" s="5"/>
    </row>
    <row r="93" spans="2:11" ht="36.75" thickBot="1" x14ac:dyDescent="0.3">
      <c r="B93" s="1424"/>
      <c r="C93" s="93"/>
      <c r="D93" s="40" t="s">
        <v>1841</v>
      </c>
      <c r="E93" s="185" t="e">
        <f>+E92/E91</f>
        <v>#DIV/0!</v>
      </c>
      <c r="F93" s="185" t="e">
        <f>+F92/F91</f>
        <v>#DIV/0!</v>
      </c>
      <c r="G93" s="185" t="e">
        <f>+G92/G91</f>
        <v>#DIV/0!</v>
      </c>
      <c r="H93" s="185" t="e">
        <f>+H92/H91</f>
        <v>#DIV/0!</v>
      </c>
      <c r="I93" s="185" t="e">
        <f>+I92/I91</f>
        <v>#DIV/0!</v>
      </c>
      <c r="J93" s="5"/>
      <c r="K93" s="5"/>
    </row>
    <row r="94" spans="2:11" x14ac:dyDescent="0.25">
      <c r="B94" s="1424"/>
      <c r="C94" s="91"/>
      <c r="D94" s="1408"/>
      <c r="E94" s="1409"/>
      <c r="F94" s="1409"/>
      <c r="G94" s="1409"/>
      <c r="H94" s="1409"/>
      <c r="I94" s="1410"/>
      <c r="J94" s="5"/>
      <c r="K94" s="5"/>
    </row>
    <row r="95" spans="2:11" x14ac:dyDescent="0.25">
      <c r="B95" s="1424"/>
      <c r="C95" s="91"/>
      <c r="D95" s="1562" t="s">
        <v>1842</v>
      </c>
      <c r="E95" s="1563"/>
      <c r="F95" s="1563"/>
      <c r="G95" s="1563"/>
      <c r="H95" s="1563"/>
      <c r="I95" s="1564"/>
      <c r="J95" s="5"/>
      <c r="K95" s="5"/>
    </row>
    <row r="96" spans="2:11" ht="15.75" thickBot="1" x14ac:dyDescent="0.3">
      <c r="B96" s="1424"/>
      <c r="C96" s="91"/>
      <c r="D96" s="1414"/>
      <c r="E96" s="1415"/>
      <c r="F96" s="1415"/>
      <c r="G96" s="1415"/>
      <c r="H96" s="1415"/>
      <c r="I96" s="1416"/>
      <c r="J96" s="5"/>
      <c r="K96" s="5"/>
    </row>
    <row r="97" spans="2:11" ht="15.75" thickBot="1" x14ac:dyDescent="0.3">
      <c r="B97" s="1424"/>
      <c r="C97" s="93"/>
      <c r="D97" s="43" t="s">
        <v>1015</v>
      </c>
      <c r="E97" s="38" t="s">
        <v>1815</v>
      </c>
      <c r="F97" s="5"/>
      <c r="G97" s="5"/>
      <c r="H97" s="5"/>
      <c r="I97" s="308"/>
      <c r="J97" s="5"/>
      <c r="K97" s="5"/>
    </row>
    <row r="98" spans="2:11" ht="24.75" thickBot="1" x14ac:dyDescent="0.3">
      <c r="B98" s="1424"/>
      <c r="C98" s="93"/>
      <c r="D98" s="40" t="s">
        <v>2677</v>
      </c>
      <c r="E98" s="1229">
        <v>2</v>
      </c>
      <c r="F98" s="5"/>
      <c r="G98" s="5"/>
      <c r="H98" s="5"/>
      <c r="I98" s="308"/>
      <c r="J98" s="5"/>
      <c r="K98" s="5"/>
    </row>
    <row r="99" spans="2:11" ht="24.75" thickBot="1" x14ac:dyDescent="0.3">
      <c r="B99" s="1424"/>
      <c r="C99" s="93"/>
      <c r="D99" s="40" t="s">
        <v>2678</v>
      </c>
      <c r="E99" s="1229">
        <v>2</v>
      </c>
      <c r="F99" s="5"/>
      <c r="G99" s="5"/>
      <c r="H99" s="5"/>
      <c r="I99" s="308"/>
      <c r="J99" s="5"/>
      <c r="K99" s="5"/>
    </row>
    <row r="100" spans="2:11" x14ac:dyDescent="0.25">
      <c r="B100" s="1424"/>
      <c r="C100" s="91"/>
      <c r="D100" s="1414"/>
      <c r="E100" s="1415"/>
      <c r="F100" s="1415"/>
      <c r="G100" s="1415"/>
      <c r="H100" s="1415"/>
      <c r="I100" s="1416"/>
      <c r="J100" s="5"/>
      <c r="K100" s="5"/>
    </row>
    <row r="101" spans="2:11" x14ac:dyDescent="0.25">
      <c r="B101" s="1424"/>
      <c r="C101" s="91"/>
      <c r="D101" s="1414" t="s">
        <v>1843</v>
      </c>
      <c r="E101" s="1415"/>
      <c r="F101" s="1415"/>
      <c r="G101" s="1415"/>
      <c r="H101" s="1415"/>
      <c r="I101" s="1416"/>
      <c r="J101" s="5"/>
      <c r="K101" s="5"/>
    </row>
    <row r="102" spans="2:11" ht="15.75" thickBot="1" x14ac:dyDescent="0.3">
      <c r="B102" s="1424"/>
      <c r="C102" s="91"/>
      <c r="D102" s="1438"/>
      <c r="E102" s="1439"/>
      <c r="F102" s="1439"/>
      <c r="G102" s="1439"/>
      <c r="H102" s="1439"/>
      <c r="I102" s="1440"/>
      <c r="J102" s="5"/>
      <c r="K102" s="5"/>
    </row>
    <row r="103" spans="2:11" ht="15.75" thickBot="1" x14ac:dyDescent="0.3">
      <c r="B103" s="1424"/>
      <c r="C103" s="93"/>
      <c r="D103" s="43" t="s">
        <v>1015</v>
      </c>
      <c r="E103" s="38" t="s">
        <v>909</v>
      </c>
      <c r="F103" s="38" t="s">
        <v>910</v>
      </c>
      <c r="G103" s="38" t="s">
        <v>911</v>
      </c>
      <c r="H103" s="38" t="s">
        <v>912</v>
      </c>
      <c r="I103" s="89" t="s">
        <v>1016</v>
      </c>
      <c r="J103" s="5"/>
      <c r="K103" s="5"/>
    </row>
    <row r="104" spans="2:11" ht="36.75" thickBot="1" x14ac:dyDescent="0.3">
      <c r="B104" s="1424"/>
      <c r="C104" s="93"/>
      <c r="D104" s="40" t="s">
        <v>1844</v>
      </c>
      <c r="E104" s="1229">
        <v>1</v>
      </c>
      <c r="F104" s="1229">
        <v>4</v>
      </c>
      <c r="G104" s="1229">
        <v>2</v>
      </c>
      <c r="H104" s="1229"/>
      <c r="I104" s="1235">
        <f>SUM(E104:H104)</f>
        <v>7</v>
      </c>
      <c r="J104" s="5"/>
      <c r="K104" s="5"/>
    </row>
    <row r="105" spans="2:11" ht="24.75" thickBot="1" x14ac:dyDescent="0.3">
      <c r="B105" s="1424"/>
      <c r="C105" s="93"/>
      <c r="D105" s="40" t="s">
        <v>1845</v>
      </c>
      <c r="E105" s="1229">
        <v>0</v>
      </c>
      <c r="F105" s="1229">
        <v>4</v>
      </c>
      <c r="G105" s="1229">
        <v>2</v>
      </c>
      <c r="H105" s="1229"/>
      <c r="I105" s="1235">
        <f>SUM(E105:H105)</f>
        <v>6</v>
      </c>
      <c r="J105" s="5"/>
      <c r="K105" s="5"/>
    </row>
    <row r="106" spans="2:11" ht="24.75" thickBot="1" x14ac:dyDescent="0.3">
      <c r="B106" s="1425"/>
      <c r="C106" s="2"/>
      <c r="D106" s="40" t="s">
        <v>1846</v>
      </c>
      <c r="E106" s="1220">
        <f>+E105/E104</f>
        <v>0</v>
      </c>
      <c r="F106" s="1220">
        <f t="shared" ref="F106:G106" si="0">+F105/F104</f>
        <v>1</v>
      </c>
      <c r="G106" s="1220">
        <f t="shared" si="0"/>
        <v>1</v>
      </c>
      <c r="H106" s="1220" t="e">
        <f>+H105/H104</f>
        <v>#DIV/0!</v>
      </c>
      <c r="I106" s="1220">
        <f>+I105/I104</f>
        <v>0.8571428571428571</v>
      </c>
      <c r="J106" s="5"/>
      <c r="K106" s="5"/>
    </row>
    <row r="107" spans="2:11" ht="15.75" thickBot="1" x14ac:dyDescent="0.3">
      <c r="B107" s="37"/>
      <c r="C107" s="87"/>
      <c r="D107" s="5"/>
      <c r="E107" s="5"/>
      <c r="F107" s="5"/>
      <c r="G107" s="5"/>
      <c r="H107" s="5"/>
      <c r="I107" s="86"/>
      <c r="J107" s="5"/>
      <c r="K107" s="5"/>
    </row>
    <row r="108" spans="2:11" ht="36.75" thickBot="1" x14ac:dyDescent="0.3">
      <c r="B108" s="37"/>
      <c r="C108" s="87"/>
      <c r="D108" s="51" t="s">
        <v>1766</v>
      </c>
      <c r="E108" s="51" t="s">
        <v>1847</v>
      </c>
      <c r="F108" s="51" t="s">
        <v>1573</v>
      </c>
      <c r="G108" s="51" t="s">
        <v>1848</v>
      </c>
      <c r="H108" s="5"/>
      <c r="I108" s="86"/>
      <c r="J108" s="5"/>
      <c r="K108" s="5"/>
    </row>
    <row r="109" spans="2:11" ht="24.75" thickBot="1" x14ac:dyDescent="0.3">
      <c r="B109" s="37"/>
      <c r="C109" s="87"/>
      <c r="D109" s="51" t="str">
        <f>+D24</f>
        <v>Porcentaje de licencias ambientales con seguimiento (PLACS)</v>
      </c>
      <c r="E109" s="1220">
        <f>+G24</f>
        <v>9.0909090909090912E-2</v>
      </c>
      <c r="F109" s="1232">
        <v>0.2</v>
      </c>
      <c r="G109" s="1220">
        <f>+E109*F109</f>
        <v>1.8181818181818184E-2</v>
      </c>
      <c r="H109" s="5"/>
      <c r="I109" s="86"/>
      <c r="J109" s="5"/>
      <c r="K109" s="5"/>
    </row>
    <row r="110" spans="2:11" ht="24.75" thickBot="1" x14ac:dyDescent="0.3">
      <c r="B110" s="37"/>
      <c r="C110" s="87"/>
      <c r="D110" s="51" t="str">
        <f>+D47</f>
        <v>Porcentaje de concesiones de agua con seguimiento (PCACS)</v>
      </c>
      <c r="E110" s="1220">
        <f>+G47</f>
        <v>1</v>
      </c>
      <c r="F110" s="1232">
        <v>0.2</v>
      </c>
      <c r="G110" s="1220">
        <f>+E110*F110</f>
        <v>0.2</v>
      </c>
      <c r="H110" s="5"/>
      <c r="I110" s="86"/>
      <c r="J110" s="5"/>
      <c r="K110" s="5"/>
    </row>
    <row r="111" spans="2:11" ht="24.75" thickBot="1" x14ac:dyDescent="0.3">
      <c r="B111" s="37"/>
      <c r="C111" s="87"/>
      <c r="D111" s="51" t="str">
        <f>+D68</f>
        <v>Porcentaje de permisos de vertimiento de agua con seguimiento (PVACS)</v>
      </c>
      <c r="E111" s="1220">
        <f>+G68</f>
        <v>1</v>
      </c>
      <c r="F111" s="1232">
        <v>0.2</v>
      </c>
      <c r="G111" s="1220">
        <f>+E111*F111</f>
        <v>0.2</v>
      </c>
      <c r="H111" s="5"/>
      <c r="I111" s="86"/>
      <c r="J111" s="5"/>
      <c r="K111" s="5"/>
    </row>
    <row r="112" spans="2:11" ht="36.75" thickBot="1" x14ac:dyDescent="0.3">
      <c r="B112" s="37"/>
      <c r="C112" s="87"/>
      <c r="D112" s="51" t="str">
        <f>+D86</f>
        <v>Porcentaje de permisos de aprovechamiento forestal con seguimiento (PPAFCS)</v>
      </c>
      <c r="E112" s="1220">
        <f>+G86</f>
        <v>1</v>
      </c>
      <c r="F112" s="1232">
        <v>0.2</v>
      </c>
      <c r="G112" s="1220">
        <f>+E112*F112</f>
        <v>0.2</v>
      </c>
      <c r="H112" s="5"/>
      <c r="I112" s="86"/>
      <c r="J112" s="5"/>
      <c r="K112" s="5"/>
    </row>
    <row r="113" spans="2:11" ht="24.75" thickBot="1" x14ac:dyDescent="0.3">
      <c r="B113" s="37"/>
      <c r="C113" s="87"/>
      <c r="D113" s="51" t="str">
        <f>+D106</f>
        <v>Porcentaje de permisos de emisiones atmosféricas con seguimiento (PEACS)</v>
      </c>
      <c r="E113" s="1220">
        <f>+G106</f>
        <v>1</v>
      </c>
      <c r="F113" s="1232">
        <v>0.2</v>
      </c>
      <c r="G113" s="1220">
        <f>+E113*F113</f>
        <v>0.2</v>
      </c>
      <c r="H113" s="5"/>
      <c r="I113" s="86"/>
      <c r="J113" s="5"/>
      <c r="K113" s="5"/>
    </row>
    <row r="114" spans="2:11" ht="24.75" thickBot="1" x14ac:dyDescent="0.3">
      <c r="B114" s="37"/>
      <c r="C114" s="87"/>
      <c r="D114" s="51" t="s">
        <v>1770</v>
      </c>
      <c r="E114" s="1234"/>
      <c r="F114" s="1233">
        <f>+Formulas!D26</f>
        <v>1</v>
      </c>
      <c r="G114" s="1220">
        <f>SUM(G109:G113)</f>
        <v>0.81818181818181812</v>
      </c>
      <c r="H114" s="5"/>
      <c r="I114" s="86"/>
      <c r="J114" s="5"/>
      <c r="K114" s="5"/>
    </row>
    <row r="115" spans="2:11" ht="15.75" thickBot="1" x14ac:dyDescent="0.3">
      <c r="B115" s="37"/>
      <c r="C115" s="87"/>
      <c r="D115" s="5"/>
      <c r="E115" s="5"/>
      <c r="F115" s="5"/>
      <c r="G115" s="5"/>
      <c r="H115" s="5"/>
      <c r="I115" s="86"/>
      <c r="J115" s="5"/>
      <c r="K115" s="5"/>
    </row>
    <row r="116" spans="2:11" ht="108.75" thickBot="1" x14ac:dyDescent="0.3">
      <c r="B116" s="51" t="s">
        <v>924</v>
      </c>
      <c r="C116" s="97"/>
      <c r="D116" s="43" t="s">
        <v>1849</v>
      </c>
      <c r="E116" s="5"/>
      <c r="F116" s="5"/>
      <c r="G116" s="5"/>
      <c r="H116" s="5"/>
      <c r="I116" s="86"/>
      <c r="J116" s="5"/>
      <c r="K116" s="5"/>
    </row>
    <row r="117" spans="2:11" ht="72.75" thickBot="1" x14ac:dyDescent="0.3">
      <c r="B117" s="46" t="s">
        <v>926</v>
      </c>
      <c r="C117" s="2"/>
      <c r="D117" s="40" t="s">
        <v>1024</v>
      </c>
      <c r="E117" s="5"/>
      <c r="F117" s="5"/>
      <c r="G117" s="5"/>
      <c r="H117" s="5"/>
      <c r="I117" s="86"/>
      <c r="J117" s="5"/>
      <c r="K117" s="5"/>
    </row>
    <row r="118" spans="2:11" ht="15.75" thickBot="1" x14ac:dyDescent="0.3">
      <c r="B118" s="1"/>
      <c r="C118" s="75"/>
      <c r="D118" s="5"/>
      <c r="E118" s="5"/>
      <c r="F118" s="5"/>
      <c r="G118" s="5"/>
      <c r="H118" s="5"/>
      <c r="I118" s="86"/>
      <c r="J118" s="5"/>
      <c r="K118" s="5"/>
    </row>
    <row r="119" spans="2:11" ht="24" customHeight="1" thickBot="1" x14ac:dyDescent="0.3">
      <c r="B119" s="1426" t="s">
        <v>928</v>
      </c>
      <c r="C119" s="1427"/>
      <c r="D119" s="1427"/>
      <c r="E119" s="1428"/>
      <c r="F119" s="5"/>
      <c r="G119" s="5"/>
      <c r="H119" s="5"/>
      <c r="I119" s="86"/>
      <c r="J119" s="5"/>
      <c r="K119" s="5"/>
    </row>
    <row r="120" spans="2:11" ht="15.75" thickBot="1" x14ac:dyDescent="0.3">
      <c r="B120" s="1423">
        <v>1</v>
      </c>
      <c r="C120" s="93"/>
      <c r="D120" s="47" t="s">
        <v>929</v>
      </c>
      <c r="E120" s="160" t="s">
        <v>2093</v>
      </c>
      <c r="F120" s="5"/>
      <c r="G120" s="5"/>
      <c r="H120" s="5"/>
      <c r="I120" s="86"/>
      <c r="J120" s="5"/>
      <c r="K120" s="5"/>
    </row>
    <row r="121" spans="2:11" ht="15.75" thickBot="1" x14ac:dyDescent="0.3">
      <c r="B121" s="1424"/>
      <c r="C121" s="93"/>
      <c r="D121" s="40" t="s">
        <v>7</v>
      </c>
      <c r="E121" s="160" t="s">
        <v>2098</v>
      </c>
      <c r="F121" s="5"/>
      <c r="G121" s="5"/>
      <c r="H121" s="5"/>
      <c r="I121" s="86"/>
      <c r="J121" s="5"/>
      <c r="K121" s="5"/>
    </row>
    <row r="122" spans="2:11" ht="15.75" thickBot="1" x14ac:dyDescent="0.3">
      <c r="B122" s="1424"/>
      <c r="C122" s="93"/>
      <c r="D122" s="40" t="s">
        <v>930</v>
      </c>
      <c r="E122" s="160" t="s">
        <v>2141</v>
      </c>
      <c r="F122" s="5"/>
      <c r="G122" s="5"/>
      <c r="H122" s="5"/>
      <c r="I122" s="86"/>
      <c r="J122" s="5"/>
      <c r="K122" s="5"/>
    </row>
    <row r="123" spans="2:11" ht="15.75" thickBot="1" x14ac:dyDescent="0.3">
      <c r="B123" s="1424"/>
      <c r="C123" s="93"/>
      <c r="D123" s="40" t="s">
        <v>9</v>
      </c>
      <c r="E123" s="160" t="s">
        <v>2133</v>
      </c>
      <c r="F123" s="5"/>
      <c r="G123" s="5"/>
      <c r="H123" s="5"/>
      <c r="I123" s="86"/>
      <c r="J123" s="5"/>
      <c r="K123" s="5"/>
    </row>
    <row r="124" spans="2:11" ht="15.75" thickBot="1" x14ac:dyDescent="0.3">
      <c r="B124" s="1424"/>
      <c r="C124" s="93"/>
      <c r="D124" s="40" t="s">
        <v>11</v>
      </c>
      <c r="E124" s="160" t="s">
        <v>2142</v>
      </c>
      <c r="F124" s="5"/>
      <c r="G124" s="5"/>
      <c r="H124" s="5"/>
      <c r="I124" s="86"/>
      <c r="J124" s="5"/>
      <c r="K124" s="5"/>
    </row>
    <row r="125" spans="2:11" ht="15.75" thickBot="1" x14ac:dyDescent="0.3">
      <c r="B125" s="1424"/>
      <c r="C125" s="93"/>
      <c r="D125" s="40" t="s">
        <v>13</v>
      </c>
      <c r="E125" s="160">
        <v>6695278</v>
      </c>
      <c r="F125" s="5"/>
      <c r="G125" s="5"/>
      <c r="H125" s="5"/>
      <c r="I125" s="86"/>
      <c r="J125" s="5"/>
      <c r="K125" s="5"/>
    </row>
    <row r="126" spans="2:11" ht="15.75" thickBot="1" x14ac:dyDescent="0.3">
      <c r="B126" s="1425"/>
      <c r="C126" s="2"/>
      <c r="D126" s="40" t="s">
        <v>931</v>
      </c>
      <c r="E126" s="160" t="s">
        <v>2097</v>
      </c>
      <c r="F126" s="5"/>
      <c r="G126" s="5"/>
      <c r="H126" s="5"/>
      <c r="I126" s="86"/>
      <c r="J126" s="5"/>
      <c r="K126" s="5"/>
    </row>
    <row r="127" spans="2:11" ht="15.75" thickBot="1" x14ac:dyDescent="0.3">
      <c r="B127" s="1"/>
      <c r="C127" s="75"/>
      <c r="D127" s="5"/>
      <c r="E127" s="5"/>
      <c r="F127" s="5"/>
      <c r="G127" s="5"/>
      <c r="H127" s="5"/>
      <c r="I127" s="86"/>
      <c r="J127" s="5"/>
      <c r="K127" s="5"/>
    </row>
    <row r="128" spans="2:11" ht="15.75" thickBot="1" x14ac:dyDescent="0.3">
      <c r="B128" s="1426" t="s">
        <v>932</v>
      </c>
      <c r="C128" s="1427"/>
      <c r="D128" s="1427"/>
      <c r="E128" s="1428"/>
      <c r="F128" s="5"/>
      <c r="G128" s="5"/>
      <c r="H128" s="5"/>
      <c r="I128" s="86"/>
      <c r="J128" s="5"/>
      <c r="K128" s="5"/>
    </row>
    <row r="129" spans="2:11" ht="15.75" thickBot="1" x14ac:dyDescent="0.3">
      <c r="B129" s="1423">
        <v>1</v>
      </c>
      <c r="C129" s="93"/>
      <c r="D129" s="47" t="s">
        <v>929</v>
      </c>
      <c r="E129" s="217" t="s">
        <v>933</v>
      </c>
      <c r="F129" s="5"/>
      <c r="G129" s="5"/>
      <c r="H129" s="5"/>
      <c r="I129" s="86"/>
      <c r="J129" s="5"/>
      <c r="K129" s="5"/>
    </row>
    <row r="130" spans="2:11" ht="15.75" thickBot="1" x14ac:dyDescent="0.3">
      <c r="B130" s="1424"/>
      <c r="C130" s="93"/>
      <c r="D130" s="40" t="s">
        <v>7</v>
      </c>
      <c r="E130" s="217" t="s">
        <v>1025</v>
      </c>
      <c r="F130" s="5"/>
      <c r="G130" s="5"/>
      <c r="H130" s="5"/>
      <c r="I130" s="86"/>
      <c r="J130" s="5"/>
      <c r="K130" s="5"/>
    </row>
    <row r="131" spans="2:11" ht="15.75" thickBot="1" x14ac:dyDescent="0.3">
      <c r="B131" s="1424"/>
      <c r="C131" s="93"/>
      <c r="D131" s="40" t="s">
        <v>930</v>
      </c>
      <c r="E131" s="165"/>
      <c r="F131" s="5"/>
      <c r="G131" s="5"/>
      <c r="H131" s="5"/>
      <c r="I131" s="86"/>
      <c r="J131" s="5"/>
      <c r="K131" s="5"/>
    </row>
    <row r="132" spans="2:11" ht="15.75" thickBot="1" x14ac:dyDescent="0.3">
      <c r="B132" s="1424"/>
      <c r="C132" s="93"/>
      <c r="D132" s="40" t="s">
        <v>9</v>
      </c>
      <c r="E132" s="165"/>
      <c r="F132" s="5"/>
      <c r="G132" s="5"/>
      <c r="H132" s="5"/>
      <c r="I132" s="86"/>
      <c r="J132" s="5"/>
      <c r="K132" s="5"/>
    </row>
    <row r="133" spans="2:11" ht="15.75" thickBot="1" x14ac:dyDescent="0.3">
      <c r="B133" s="1424"/>
      <c r="C133" s="93"/>
      <c r="D133" s="40" t="s">
        <v>11</v>
      </c>
      <c r="E133" s="165"/>
      <c r="F133" s="5"/>
      <c r="G133" s="5"/>
      <c r="H133" s="5"/>
      <c r="I133" s="86"/>
      <c r="J133" s="5"/>
      <c r="K133" s="5"/>
    </row>
    <row r="134" spans="2:11" ht="15.75" thickBot="1" x14ac:dyDescent="0.3">
      <c r="B134" s="1424"/>
      <c r="C134" s="93"/>
      <c r="D134" s="40" t="s">
        <v>13</v>
      </c>
      <c r="E134" s="165"/>
      <c r="F134" s="5"/>
      <c r="G134" s="5"/>
      <c r="H134" s="5"/>
      <c r="I134" s="86"/>
      <c r="J134" s="5"/>
      <c r="K134" s="5"/>
    </row>
    <row r="135" spans="2:11" ht="15.75" thickBot="1" x14ac:dyDescent="0.3">
      <c r="B135" s="1425"/>
      <c r="C135" s="2"/>
      <c r="D135" s="40" t="s">
        <v>931</v>
      </c>
      <c r="E135" s="165"/>
      <c r="F135" s="5"/>
      <c r="G135" s="5"/>
      <c r="H135" s="5"/>
      <c r="I135" s="86"/>
      <c r="J135" s="5"/>
      <c r="K135" s="5"/>
    </row>
    <row r="136" spans="2:11" ht="15.75" thickBot="1" x14ac:dyDescent="0.3">
      <c r="B136" s="1"/>
      <c r="C136" s="75"/>
      <c r="D136" s="5"/>
      <c r="E136" s="5"/>
      <c r="F136" s="5"/>
      <c r="G136" s="5"/>
      <c r="H136" s="5"/>
      <c r="I136" s="86"/>
      <c r="J136" s="5"/>
      <c r="K136" s="5"/>
    </row>
    <row r="137" spans="2:11" ht="15" customHeight="1" thickBot="1" x14ac:dyDescent="0.3">
      <c r="B137" s="164" t="s">
        <v>935</v>
      </c>
      <c r="C137" s="122"/>
      <c r="D137" s="122"/>
      <c r="E137" s="123"/>
      <c r="G137" s="5"/>
      <c r="H137" s="5"/>
      <c r="I137" s="86"/>
      <c r="J137" s="5"/>
      <c r="K137" s="5"/>
    </row>
    <row r="138" spans="2:11" ht="24.75" thickBot="1" x14ac:dyDescent="0.3">
      <c r="B138" s="46" t="s">
        <v>936</v>
      </c>
      <c r="C138" s="40" t="s">
        <v>937</v>
      </c>
      <c r="D138" s="40" t="s">
        <v>938</v>
      </c>
      <c r="E138" s="40" t="s">
        <v>939</v>
      </c>
      <c r="F138" s="5"/>
      <c r="G138" s="5"/>
      <c r="H138" s="5"/>
      <c r="I138" s="86"/>
      <c r="J138" s="5"/>
    </row>
    <row r="139" spans="2:11" ht="60.75" thickBot="1" x14ac:dyDescent="0.3">
      <c r="B139" s="48">
        <v>42401</v>
      </c>
      <c r="C139" s="40">
        <v>0.01</v>
      </c>
      <c r="D139" s="49" t="s">
        <v>1850</v>
      </c>
      <c r="E139" s="40"/>
      <c r="F139" s="5"/>
      <c r="G139" s="5"/>
      <c r="H139" s="5"/>
      <c r="I139" s="86"/>
      <c r="J139" s="5"/>
    </row>
    <row r="140" spans="2:11" ht="15.75" thickBot="1" x14ac:dyDescent="0.3">
      <c r="B140" s="3"/>
      <c r="C140" s="94"/>
      <c r="D140" s="5"/>
      <c r="E140" s="5"/>
      <c r="F140" s="5"/>
      <c r="G140" s="5"/>
      <c r="H140" s="5"/>
      <c r="I140" s="86"/>
      <c r="J140" s="5"/>
      <c r="K140" s="5"/>
    </row>
    <row r="141" spans="2:11" ht="15.75" thickBot="1" x14ac:dyDescent="0.3">
      <c r="B141" s="128" t="s">
        <v>846</v>
      </c>
      <c r="C141" s="95"/>
      <c r="D141" s="5"/>
      <c r="E141" s="5"/>
      <c r="F141" s="5"/>
      <c r="G141" s="5"/>
      <c r="H141" s="5"/>
      <c r="I141" s="86"/>
      <c r="J141" s="5"/>
      <c r="K141" s="5"/>
    </row>
    <row r="142" spans="2:11" ht="63" customHeight="1" thickBot="1" x14ac:dyDescent="0.3">
      <c r="B142" s="1605"/>
      <c r="C142" s="1606"/>
      <c r="D142" s="1606"/>
      <c r="E142" s="1607"/>
      <c r="F142" s="5"/>
      <c r="G142" s="5"/>
      <c r="H142" s="5"/>
      <c r="I142" s="86"/>
      <c r="J142" s="5"/>
      <c r="K142" s="5"/>
    </row>
    <row r="143" spans="2:11" ht="15.75" thickBot="1" x14ac:dyDescent="0.3">
      <c r="B143" s="5"/>
      <c r="D143" s="5"/>
      <c r="E143" s="5"/>
      <c r="F143" s="5"/>
      <c r="G143" s="5"/>
      <c r="H143" s="5"/>
      <c r="I143" s="86"/>
      <c r="J143" s="5"/>
      <c r="K143" s="5"/>
    </row>
    <row r="144" spans="2:11" ht="24.75" thickBot="1" x14ac:dyDescent="0.3">
      <c r="B144" s="50" t="s">
        <v>941</v>
      </c>
      <c r="C144" s="96"/>
      <c r="D144" s="5"/>
      <c r="E144" s="5"/>
      <c r="F144" s="5"/>
      <c r="G144" s="5"/>
      <c r="H144" s="5"/>
      <c r="I144" s="86"/>
      <c r="J144" s="5"/>
      <c r="K144" s="5"/>
    </row>
    <row r="145" spans="2:11" ht="15.75" thickBot="1" x14ac:dyDescent="0.3">
      <c r="B145" s="1" t="s">
        <v>849</v>
      </c>
      <c r="C145" s="75"/>
      <c r="D145" s="5"/>
      <c r="E145" s="5"/>
      <c r="F145" s="5"/>
      <c r="G145" s="5"/>
      <c r="H145" s="5"/>
      <c r="I145" s="86"/>
      <c r="J145" s="5"/>
      <c r="K145" s="5"/>
    </row>
    <row r="146" spans="2:11" ht="60.75" thickBot="1" x14ac:dyDescent="0.3">
      <c r="B146" s="51" t="s">
        <v>942</v>
      </c>
      <c r="C146" s="97"/>
      <c r="D146" s="43" t="s">
        <v>1851</v>
      </c>
      <c r="E146" s="5"/>
      <c r="F146" s="5"/>
      <c r="G146" s="5"/>
      <c r="H146" s="5"/>
      <c r="I146" s="86"/>
      <c r="J146" s="5"/>
      <c r="K146" s="5"/>
    </row>
    <row r="147" spans="2:11" x14ac:dyDescent="0.25">
      <c r="B147" s="1423" t="s">
        <v>944</v>
      </c>
      <c r="C147" s="93"/>
      <c r="D147" s="52" t="s">
        <v>945</v>
      </c>
      <c r="E147" s="5"/>
      <c r="F147" s="5"/>
      <c r="G147" s="5"/>
      <c r="H147" s="5"/>
      <c r="I147" s="86"/>
      <c r="J147" s="5"/>
      <c r="K147" s="5"/>
    </row>
    <row r="148" spans="2:11" ht="108" x14ac:dyDescent="0.25">
      <c r="B148" s="1424"/>
      <c r="C148" s="93"/>
      <c r="D148" s="45" t="s">
        <v>1852</v>
      </c>
      <c r="E148" s="5"/>
      <c r="F148" s="5"/>
      <c r="G148" s="5"/>
      <c r="H148" s="5"/>
      <c r="I148" s="86"/>
      <c r="J148" s="5"/>
      <c r="K148" s="5"/>
    </row>
    <row r="149" spans="2:11" x14ac:dyDescent="0.25">
      <c r="B149" s="1424"/>
      <c r="C149" s="93"/>
      <c r="D149" s="52" t="s">
        <v>1029</v>
      </c>
      <c r="E149" s="5"/>
      <c r="F149" s="5"/>
      <c r="G149" s="5"/>
      <c r="H149" s="5"/>
      <c r="I149" s="86"/>
      <c r="J149" s="5"/>
      <c r="K149" s="5"/>
    </row>
    <row r="150" spans="2:11" x14ac:dyDescent="0.25">
      <c r="B150" s="1424"/>
      <c r="C150" s="93"/>
      <c r="D150" s="45" t="s">
        <v>949</v>
      </c>
      <c r="E150" s="5"/>
      <c r="F150" s="5"/>
      <c r="G150" s="5"/>
      <c r="H150" s="5"/>
      <c r="I150" s="86"/>
      <c r="J150" s="5"/>
      <c r="K150" s="5"/>
    </row>
    <row r="151" spans="2:11" x14ac:dyDescent="0.25">
      <c r="B151" s="1424"/>
      <c r="C151" s="93"/>
      <c r="D151" s="45" t="s">
        <v>950</v>
      </c>
      <c r="E151" s="5"/>
      <c r="F151" s="5"/>
      <c r="G151" s="5"/>
      <c r="H151" s="5"/>
      <c r="I151" s="86"/>
      <c r="J151" s="5"/>
      <c r="K151" s="5"/>
    </row>
    <row r="152" spans="2:11" x14ac:dyDescent="0.25">
      <c r="B152" s="1424"/>
      <c r="C152" s="93"/>
      <c r="D152" s="45" t="s">
        <v>1776</v>
      </c>
      <c r="E152" s="5"/>
      <c r="F152" s="5"/>
      <c r="G152" s="5"/>
      <c r="H152" s="5"/>
      <c r="I152" s="86"/>
      <c r="J152" s="5"/>
      <c r="K152" s="5"/>
    </row>
    <row r="153" spans="2:11" ht="36.75" thickBot="1" x14ac:dyDescent="0.3">
      <c r="B153" s="1425"/>
      <c r="C153" s="2"/>
      <c r="D153" s="40" t="s">
        <v>1853</v>
      </c>
      <c r="E153" s="5"/>
      <c r="F153" s="5"/>
      <c r="G153" s="5"/>
      <c r="H153" s="5"/>
      <c r="I153" s="86"/>
      <c r="J153" s="5"/>
      <c r="K153" s="5"/>
    </row>
    <row r="154" spans="2:11" ht="24.75" thickBot="1" x14ac:dyDescent="0.3">
      <c r="B154" s="46" t="s">
        <v>957</v>
      </c>
      <c r="C154" s="2"/>
      <c r="D154" s="40"/>
      <c r="E154" s="5"/>
      <c r="F154" s="5"/>
      <c r="G154" s="5"/>
      <c r="H154" s="5"/>
      <c r="I154" s="86"/>
      <c r="J154" s="5"/>
      <c r="K154" s="5"/>
    </row>
    <row r="155" spans="2:11" ht="312" x14ac:dyDescent="0.25">
      <c r="B155" s="1423" t="s">
        <v>958</v>
      </c>
      <c r="C155" s="93"/>
      <c r="D155" s="45" t="s">
        <v>1854</v>
      </c>
      <c r="E155" s="5"/>
      <c r="F155" s="5"/>
      <c r="G155" s="5"/>
      <c r="H155" s="5"/>
      <c r="I155" s="86"/>
      <c r="J155" s="5"/>
      <c r="K155" s="5"/>
    </row>
    <row r="156" spans="2:11" ht="324" x14ac:dyDescent="0.25">
      <c r="B156" s="1424"/>
      <c r="C156" s="93"/>
      <c r="D156" s="45" t="s">
        <v>1855</v>
      </c>
      <c r="E156" s="5"/>
      <c r="F156" s="5"/>
      <c r="G156" s="5"/>
      <c r="H156" s="5"/>
      <c r="I156" s="86"/>
      <c r="J156" s="5"/>
      <c r="K156" s="5"/>
    </row>
    <row r="157" spans="2:11" ht="108" x14ac:dyDescent="0.25">
      <c r="B157" s="1424"/>
      <c r="C157" s="93"/>
      <c r="D157" s="45" t="s">
        <v>1856</v>
      </c>
      <c r="E157" s="5"/>
      <c r="F157" s="5"/>
      <c r="G157" s="5"/>
      <c r="H157" s="5"/>
      <c r="I157" s="86"/>
      <c r="J157" s="5"/>
      <c r="K157" s="5"/>
    </row>
    <row r="158" spans="2:11" ht="72.75" thickBot="1" x14ac:dyDescent="0.3">
      <c r="B158" s="1425"/>
      <c r="C158" s="2"/>
      <c r="D158" s="40" t="s">
        <v>1857</v>
      </c>
      <c r="E158" s="5"/>
      <c r="F158" s="5"/>
      <c r="G158" s="5"/>
      <c r="H158" s="5"/>
      <c r="I158" s="86"/>
      <c r="J158" s="5"/>
      <c r="K158" s="5"/>
    </row>
    <row r="159" spans="2:11" ht="24" x14ac:dyDescent="0.25">
      <c r="B159" s="1423" t="s">
        <v>975</v>
      </c>
      <c r="C159" s="93"/>
      <c r="D159" s="52" t="s">
        <v>111</v>
      </c>
      <c r="E159" s="5"/>
      <c r="F159" s="5"/>
      <c r="G159" s="5"/>
      <c r="H159" s="5"/>
      <c r="I159" s="86"/>
      <c r="J159" s="5"/>
      <c r="K159" s="5"/>
    </row>
    <row r="160" spans="2:11" x14ac:dyDescent="0.25">
      <c r="B160" s="1424"/>
      <c r="C160" s="93"/>
      <c r="D160" s="16"/>
      <c r="E160" s="5"/>
      <c r="F160" s="5"/>
      <c r="G160" s="5"/>
      <c r="H160" s="5"/>
      <c r="I160" s="86"/>
      <c r="J160" s="5"/>
      <c r="K160" s="5"/>
    </row>
    <row r="161" spans="2:11" x14ac:dyDescent="0.25">
      <c r="B161" s="1424"/>
      <c r="C161" s="93"/>
      <c r="D161" s="45" t="s">
        <v>976</v>
      </c>
      <c r="E161" s="5"/>
      <c r="F161" s="5"/>
      <c r="G161" s="5"/>
      <c r="H161" s="5"/>
      <c r="I161" s="86"/>
      <c r="J161" s="5"/>
      <c r="K161" s="5"/>
    </row>
    <row r="162" spans="2:11" ht="37.5" x14ac:dyDescent="0.25">
      <c r="B162" s="1424"/>
      <c r="C162" s="93"/>
      <c r="D162" s="45" t="s">
        <v>1858</v>
      </c>
      <c r="E162" s="5"/>
      <c r="F162" s="5"/>
      <c r="G162" s="5"/>
      <c r="H162" s="5"/>
      <c r="I162" s="86"/>
      <c r="J162" s="5"/>
      <c r="K162" s="5"/>
    </row>
    <row r="163" spans="2:11" ht="37.5" x14ac:dyDescent="0.25">
      <c r="B163" s="1424"/>
      <c r="C163" s="93"/>
      <c r="D163" s="45" t="s">
        <v>1859</v>
      </c>
      <c r="E163" s="5"/>
      <c r="F163" s="5"/>
      <c r="G163" s="5"/>
      <c r="H163" s="5"/>
      <c r="I163" s="86"/>
      <c r="J163" s="5"/>
      <c r="K163" s="5"/>
    </row>
    <row r="164" spans="2:11" ht="60" x14ac:dyDescent="0.25">
      <c r="B164" s="1424"/>
      <c r="C164" s="93"/>
      <c r="D164" s="45" t="s">
        <v>1860</v>
      </c>
      <c r="E164" s="5"/>
      <c r="F164" s="5"/>
      <c r="G164" s="5"/>
      <c r="H164" s="5"/>
      <c r="I164" s="86"/>
      <c r="J164" s="5"/>
      <c r="K164" s="5"/>
    </row>
    <row r="165" spans="2:11" ht="97.5" x14ac:dyDescent="0.25">
      <c r="B165" s="1424"/>
      <c r="C165" s="93"/>
      <c r="D165" s="45" t="s">
        <v>1861</v>
      </c>
      <c r="E165" s="5"/>
      <c r="F165" s="5"/>
      <c r="G165" s="5"/>
      <c r="H165" s="5"/>
      <c r="I165" s="86"/>
      <c r="J165" s="5"/>
      <c r="K165" s="5"/>
    </row>
    <row r="166" spans="2:11" ht="24" x14ac:dyDescent="0.25">
      <c r="B166" s="1424"/>
      <c r="C166" s="93"/>
      <c r="D166" s="52" t="s">
        <v>1862</v>
      </c>
      <c r="E166" s="5"/>
      <c r="F166" s="5"/>
      <c r="G166" s="5"/>
      <c r="H166" s="5"/>
      <c r="I166" s="86"/>
      <c r="J166" s="5"/>
      <c r="K166" s="5"/>
    </row>
    <row r="167" spans="2:11" x14ac:dyDescent="0.25">
      <c r="B167" s="1424"/>
      <c r="C167" s="93"/>
      <c r="D167" s="16"/>
      <c r="E167" s="5"/>
      <c r="F167" s="5"/>
      <c r="G167" s="5"/>
      <c r="H167" s="5"/>
      <c r="I167" s="86"/>
      <c r="J167" s="5"/>
      <c r="K167" s="5"/>
    </row>
    <row r="168" spans="2:11" x14ac:dyDescent="0.25">
      <c r="B168" s="1424"/>
      <c r="C168" s="93"/>
      <c r="D168" s="45" t="s">
        <v>976</v>
      </c>
      <c r="E168" s="5"/>
      <c r="F168" s="5"/>
      <c r="G168" s="5"/>
      <c r="H168" s="5"/>
      <c r="I168" s="86"/>
      <c r="J168" s="5"/>
      <c r="K168" s="5"/>
    </row>
    <row r="169" spans="2:11" ht="37.5" x14ac:dyDescent="0.25">
      <c r="B169" s="1424"/>
      <c r="C169" s="93"/>
      <c r="D169" s="45" t="s">
        <v>1863</v>
      </c>
      <c r="E169" s="5"/>
      <c r="F169" s="5"/>
      <c r="G169" s="5"/>
      <c r="H169" s="5"/>
      <c r="I169" s="86"/>
      <c r="J169" s="5"/>
      <c r="K169" s="5"/>
    </row>
    <row r="170" spans="2:11" ht="37.5" x14ac:dyDescent="0.25">
      <c r="B170" s="1424"/>
      <c r="C170" s="93"/>
      <c r="D170" s="45" t="s">
        <v>1864</v>
      </c>
      <c r="E170" s="5"/>
      <c r="F170" s="5"/>
      <c r="G170" s="5"/>
      <c r="H170" s="5"/>
      <c r="I170" s="86"/>
      <c r="J170" s="5"/>
      <c r="K170" s="5"/>
    </row>
    <row r="171" spans="2:11" ht="37.5" x14ac:dyDescent="0.25">
      <c r="B171" s="1424"/>
      <c r="C171" s="93"/>
      <c r="D171" s="45" t="s">
        <v>1865</v>
      </c>
      <c r="E171" s="5"/>
      <c r="F171" s="5"/>
      <c r="G171" s="5"/>
      <c r="H171" s="5"/>
      <c r="I171" s="86"/>
      <c r="J171" s="5"/>
      <c r="K171" s="5"/>
    </row>
    <row r="172" spans="2:11" ht="60" x14ac:dyDescent="0.25">
      <c r="B172" s="1424"/>
      <c r="C172" s="93"/>
      <c r="D172" s="45" t="s">
        <v>1860</v>
      </c>
      <c r="E172" s="5"/>
      <c r="F172" s="5"/>
      <c r="G172" s="5"/>
      <c r="H172" s="5"/>
      <c r="I172" s="86"/>
      <c r="J172" s="5"/>
      <c r="K172" s="5"/>
    </row>
    <row r="173" spans="2:11" ht="60.75" thickBot="1" x14ac:dyDescent="0.3">
      <c r="B173" s="1425"/>
      <c r="C173" s="2"/>
      <c r="D173" s="40" t="s">
        <v>1866</v>
      </c>
      <c r="E173" s="5"/>
      <c r="F173" s="5"/>
      <c r="G173" s="5"/>
      <c r="H173" s="5"/>
      <c r="I173" s="86"/>
      <c r="J173" s="5"/>
      <c r="K173" s="5"/>
    </row>
    <row r="174" spans="2:11" x14ac:dyDescent="0.25">
      <c r="B174" s="5"/>
      <c r="D174" s="5"/>
      <c r="E174" s="5"/>
      <c r="F174" s="5"/>
      <c r="G174" s="5"/>
      <c r="H174" s="5"/>
      <c r="I174" s="86"/>
      <c r="J174" s="5"/>
      <c r="K174" s="5"/>
    </row>
    <row r="175" spans="2:11" x14ac:dyDescent="0.25">
      <c r="B175" s="5"/>
      <c r="D175" s="5"/>
      <c r="E175" s="5"/>
      <c r="F175" s="5"/>
      <c r="G175" s="5"/>
      <c r="H175" s="5"/>
      <c r="I175" s="86"/>
      <c r="J175" s="5"/>
      <c r="K175" s="5"/>
    </row>
    <row r="176" spans="2:11" x14ac:dyDescent="0.25">
      <c r="B176" s="5"/>
      <c r="D176" s="5"/>
      <c r="E176" s="5"/>
      <c r="F176" s="5"/>
      <c r="G176" s="5"/>
      <c r="H176" s="5"/>
      <c r="I176" s="86"/>
      <c r="J176" s="5"/>
      <c r="K176" s="5"/>
    </row>
    <row r="177" spans="2:11" x14ac:dyDescent="0.25">
      <c r="B177" s="5"/>
      <c r="D177" s="5"/>
      <c r="E177" s="5"/>
      <c r="F177" s="5"/>
      <c r="G177" s="5"/>
      <c r="H177" s="5"/>
      <c r="I177" s="86"/>
      <c r="J177" s="5"/>
      <c r="K177" s="5"/>
    </row>
    <row r="178" spans="2:11" x14ac:dyDescent="0.25">
      <c r="B178" s="5"/>
      <c r="D178" s="5"/>
      <c r="E178" s="5"/>
      <c r="F178" s="5"/>
      <c r="G178" s="5"/>
      <c r="H178" s="5"/>
      <c r="I178" s="86"/>
      <c r="J178" s="5"/>
      <c r="K178" s="5"/>
    </row>
    <row r="179" spans="2:11" x14ac:dyDescent="0.25">
      <c r="B179" s="5"/>
      <c r="D179" s="5"/>
      <c r="E179" s="5"/>
      <c r="F179" s="5"/>
      <c r="G179" s="5"/>
      <c r="H179" s="5"/>
      <c r="I179" s="86"/>
      <c r="J179" s="5"/>
      <c r="K179" s="5"/>
    </row>
    <row r="180" spans="2:11" x14ac:dyDescent="0.25">
      <c r="B180" s="5"/>
      <c r="D180" s="5"/>
      <c r="E180" s="5"/>
      <c r="F180" s="5"/>
      <c r="G180" s="5"/>
      <c r="H180" s="5"/>
      <c r="I180" s="86"/>
      <c r="J180" s="5"/>
      <c r="K180" s="5"/>
    </row>
    <row r="181" spans="2:11" x14ac:dyDescent="0.25">
      <c r="B181" s="5"/>
      <c r="D181" s="5"/>
      <c r="E181" s="5"/>
      <c r="F181" s="5"/>
      <c r="G181" s="5"/>
      <c r="H181" s="5"/>
      <c r="I181" s="86"/>
      <c r="J181" s="5"/>
      <c r="K181" s="5"/>
    </row>
    <row r="182" spans="2:11" x14ac:dyDescent="0.25">
      <c r="B182" s="5"/>
      <c r="D182" s="5"/>
      <c r="E182" s="5"/>
      <c r="F182" s="5"/>
      <c r="G182" s="5"/>
      <c r="H182" s="5"/>
      <c r="I182" s="86"/>
      <c r="J182" s="5"/>
      <c r="K182" s="5"/>
    </row>
    <row r="183" spans="2:11" x14ac:dyDescent="0.25">
      <c r="B183" s="5"/>
      <c r="D183" s="5"/>
      <c r="E183" s="5"/>
      <c r="F183" s="5"/>
      <c r="G183" s="5"/>
      <c r="H183" s="5"/>
      <c r="I183" s="86"/>
      <c r="J183" s="5"/>
      <c r="K183" s="5"/>
    </row>
    <row r="184" spans="2:11" x14ac:dyDescent="0.25">
      <c r="B184" s="5"/>
      <c r="D184" s="5"/>
      <c r="E184" s="5"/>
      <c r="F184" s="5"/>
      <c r="G184" s="5"/>
      <c r="H184" s="5"/>
      <c r="I184" s="86"/>
      <c r="J184" s="5"/>
      <c r="K184" s="5"/>
    </row>
    <row r="185" spans="2:11" x14ac:dyDescent="0.25">
      <c r="B185" s="5"/>
      <c r="D185" s="5"/>
      <c r="E185" s="5"/>
      <c r="F185" s="5"/>
      <c r="G185" s="5"/>
      <c r="H185" s="5"/>
      <c r="I185" s="86"/>
      <c r="J185" s="5"/>
      <c r="K185" s="5"/>
    </row>
    <row r="186" spans="2:11" x14ac:dyDescent="0.25">
      <c r="B186" s="5"/>
      <c r="D186" s="5"/>
      <c r="E186" s="5"/>
      <c r="F186" s="5"/>
      <c r="G186" s="5"/>
      <c r="H186" s="5"/>
      <c r="I186" s="86"/>
      <c r="J186" s="5"/>
      <c r="K186" s="5"/>
    </row>
    <row r="187" spans="2:11" x14ac:dyDescent="0.25">
      <c r="B187" s="5"/>
      <c r="D187" s="5"/>
      <c r="E187" s="5"/>
      <c r="F187" s="5"/>
      <c r="G187" s="5"/>
      <c r="H187" s="5"/>
      <c r="I187" s="86"/>
      <c r="J187" s="5"/>
      <c r="K187" s="5"/>
    </row>
    <row r="188" spans="2:11" x14ac:dyDescent="0.25">
      <c r="B188" s="5"/>
      <c r="D188" s="5"/>
      <c r="E188" s="5"/>
      <c r="F188" s="5"/>
      <c r="G188" s="5"/>
      <c r="H188" s="5"/>
      <c r="I188" s="86"/>
      <c r="J188" s="5"/>
      <c r="K188" s="5"/>
    </row>
    <row r="189" spans="2:11" x14ac:dyDescent="0.25">
      <c r="B189" s="5"/>
      <c r="D189" s="5"/>
      <c r="E189" s="5"/>
      <c r="F189" s="5"/>
      <c r="G189" s="5"/>
      <c r="H189" s="5"/>
      <c r="I189" s="86"/>
      <c r="J189" s="5"/>
      <c r="K189" s="5"/>
    </row>
  </sheetData>
  <mergeCells count="59">
    <mergeCell ref="B129:B135"/>
    <mergeCell ref="D96:I96"/>
    <mergeCell ref="D100:I100"/>
    <mergeCell ref="D101:I101"/>
    <mergeCell ref="D102:I102"/>
    <mergeCell ref="B119:E119"/>
    <mergeCell ref="B120:B126"/>
    <mergeCell ref="D87:I87"/>
    <mergeCell ref="D88:I88"/>
    <mergeCell ref="D89:I89"/>
    <mergeCell ref="D94:I94"/>
    <mergeCell ref="B128:E128"/>
    <mergeCell ref="D76:I76"/>
    <mergeCell ref="D77:I77"/>
    <mergeCell ref="D81:I81"/>
    <mergeCell ref="D82:I82"/>
    <mergeCell ref="D71:I71"/>
    <mergeCell ref="G27:G28"/>
    <mergeCell ref="B15:B106"/>
    <mergeCell ref="D15:I15"/>
    <mergeCell ref="D16:I16"/>
    <mergeCell ref="D17:I17"/>
    <mergeCell ref="D20:I20"/>
    <mergeCell ref="D25:I25"/>
    <mergeCell ref="D26:I26"/>
    <mergeCell ref="D34:I34"/>
    <mergeCell ref="D35:I35"/>
    <mergeCell ref="F27:F28"/>
    <mergeCell ref="D63:I63"/>
    <mergeCell ref="D36:I36"/>
    <mergeCell ref="D41:I41"/>
    <mergeCell ref="D42:I42"/>
    <mergeCell ref="D43:I43"/>
    <mergeCell ref="B142:E142"/>
    <mergeCell ref="B147:B153"/>
    <mergeCell ref="B155:B158"/>
    <mergeCell ref="B159:B173"/>
    <mergeCell ref="D27:D28"/>
    <mergeCell ref="E27:E28"/>
    <mergeCell ref="D48:I48"/>
    <mergeCell ref="D49:I49"/>
    <mergeCell ref="D50:I50"/>
    <mergeCell ref="D55:I55"/>
    <mergeCell ref="D56:I56"/>
    <mergeCell ref="D57:I57"/>
    <mergeCell ref="D62:I62"/>
    <mergeCell ref="D95:I95"/>
    <mergeCell ref="D64:I64"/>
    <mergeCell ref="D70:I70"/>
    <mergeCell ref="B10:D10"/>
    <mergeCell ref="F10:S10"/>
    <mergeCell ref="F11:S11"/>
    <mergeCell ref="E12:R12"/>
    <mergeCell ref="E13:R13"/>
    <mergeCell ref="A1:P1"/>
    <mergeCell ref="A2:P2"/>
    <mergeCell ref="A3:P3"/>
    <mergeCell ref="A4:D4"/>
    <mergeCell ref="A5:P5"/>
  </mergeCells>
  <conditionalFormatting sqref="F114">
    <cfRule type="containsText" dxfId="38" priority="5" operator="containsText" text="ERROR">
      <formula>NOT(ISERROR(SEARCH("ERROR",F114)))</formula>
    </cfRule>
  </conditionalFormatting>
  <conditionalFormatting sqref="F10">
    <cfRule type="notContainsBlanks" dxfId="37" priority="4">
      <formula>LEN(TRIM(F10))&gt;0</formula>
    </cfRule>
  </conditionalFormatting>
  <conditionalFormatting sqref="F11:S11">
    <cfRule type="expression" dxfId="36" priority="2">
      <formula>E11="NO SE REPORTA"</formula>
    </cfRule>
    <cfRule type="expression" dxfId="35" priority="3">
      <formula>E10="NO APLICA"</formula>
    </cfRule>
  </conditionalFormatting>
  <conditionalFormatting sqref="E12:R12">
    <cfRule type="expression" dxfId="34"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98:E99 E18:E19 E91:H92 E38:E40 E22:H23 E45:H46 E52:H53 E66:H67 E73:H74 E79:E80 E104:H105 E84:H85 E29:H32 E59:E61">
      <formula1>0</formula1>
    </dataValidation>
    <dataValidation allowBlank="1" showInputMessage="1" showErrorMessage="1" sqref="E54:H54 E68:I68 I66:I67 I73:I75 E75:H75 E24:H24 E33:H33 I45:I47 E47:H47 I52:I54"/>
    <dataValidation type="decimal" allowBlank="1" showInputMessage="1" showErrorMessage="1" errorTitle="ERROR" error="Escriba un valor entre 0% y 100%" sqref="F109:F113">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U179"/>
  <sheetViews>
    <sheetView showGridLines="0" zoomScale="98" zoomScaleNormal="98" workbookViewId="0">
      <selection activeCell="J23" sqref="J23"/>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112</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+G21</f>
        <v>0.73913043478260865</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x14ac:dyDescent="0.25">
      <c r="B15" s="1423" t="s">
        <v>888</v>
      </c>
      <c r="C15" s="88"/>
      <c r="D15" s="1408"/>
      <c r="E15" s="1409"/>
      <c r="F15" s="1409"/>
      <c r="G15" s="1409"/>
      <c r="H15" s="1409"/>
      <c r="I15" s="1410"/>
      <c r="J15" s="5"/>
      <c r="K15" s="5"/>
    </row>
    <row r="16" spans="1:21" ht="15.75" thickBot="1" x14ac:dyDescent="0.3">
      <c r="B16" s="1424"/>
      <c r="C16" s="91"/>
      <c r="D16" s="1438" t="s">
        <v>889</v>
      </c>
      <c r="E16" s="1439"/>
      <c r="F16" s="1439"/>
      <c r="G16" s="1439"/>
      <c r="H16" s="1439"/>
      <c r="I16" s="1440"/>
      <c r="J16" s="5"/>
      <c r="K16" s="5"/>
    </row>
    <row r="17" spans="2:11" ht="15.75" thickBot="1" x14ac:dyDescent="0.3">
      <c r="B17" s="1424"/>
      <c r="C17" s="93"/>
      <c r="D17" s="43" t="s">
        <v>1015</v>
      </c>
      <c r="E17" s="38" t="s">
        <v>909</v>
      </c>
      <c r="F17" s="38" t="s">
        <v>910</v>
      </c>
      <c r="G17" s="38" t="s">
        <v>911</v>
      </c>
      <c r="H17" s="38" t="s">
        <v>912</v>
      </c>
      <c r="I17" s="38" t="s">
        <v>1016</v>
      </c>
      <c r="J17" s="5"/>
      <c r="K17" s="5"/>
    </row>
    <row r="18" spans="2:11" ht="36.75" thickBot="1" x14ac:dyDescent="0.3">
      <c r="B18" s="1424"/>
      <c r="C18" s="93"/>
      <c r="D18" s="40" t="s">
        <v>1867</v>
      </c>
      <c r="E18" s="1229">
        <v>16</v>
      </c>
      <c r="F18" s="1229">
        <v>458</v>
      </c>
      <c r="G18" s="1229">
        <v>46</v>
      </c>
      <c r="H18" s="1229"/>
      <c r="I18" s="1230">
        <f>SUM(E18:H18)</f>
        <v>520</v>
      </c>
      <c r="J18" s="5"/>
      <c r="K18" s="5"/>
    </row>
    <row r="19" spans="2:11" ht="36.75" thickBot="1" x14ac:dyDescent="0.3">
      <c r="B19" s="1424"/>
      <c r="C19" s="93"/>
      <c r="D19" s="40" t="s">
        <v>1868</v>
      </c>
      <c r="E19" s="1229">
        <v>3</v>
      </c>
      <c r="F19" s="1229">
        <v>7</v>
      </c>
      <c r="G19" s="1229">
        <v>34</v>
      </c>
      <c r="H19" s="1229"/>
      <c r="I19" s="1230">
        <f>SUM(E19:H19)</f>
        <v>44</v>
      </c>
      <c r="J19" s="5"/>
      <c r="K19" s="5"/>
    </row>
    <row r="20" spans="2:11" ht="36.75" thickBot="1" x14ac:dyDescent="0.3">
      <c r="B20" s="1424"/>
      <c r="C20" s="93"/>
      <c r="D20" s="40" t="s">
        <v>1869</v>
      </c>
      <c r="E20" s="1229">
        <v>2</v>
      </c>
      <c r="F20" s="1229">
        <v>4</v>
      </c>
      <c r="G20" s="1229">
        <v>0</v>
      </c>
      <c r="H20" s="1229"/>
      <c r="I20" s="1230">
        <f>SUM(E20:H20)</f>
        <v>6</v>
      </c>
      <c r="J20" s="5"/>
      <c r="K20" s="5"/>
    </row>
    <row r="21" spans="2:11" ht="24.75" thickBot="1" x14ac:dyDescent="0.3">
      <c r="B21" s="1425"/>
      <c r="C21" s="2"/>
      <c r="D21" s="40" t="s">
        <v>1870</v>
      </c>
      <c r="E21" s="1231">
        <f>+(E19+E20)/E18</f>
        <v>0.3125</v>
      </c>
      <c r="F21" s="1231">
        <f>+(F19+F20)/F18</f>
        <v>2.4017467248908297E-2</v>
      </c>
      <c r="G21" s="1231">
        <f>+(G19+G20)/G18</f>
        <v>0.73913043478260865</v>
      </c>
      <c r="H21" s="1231" t="e">
        <f>+(H19+H20)/H18</f>
        <v>#DIV/0!</v>
      </c>
      <c r="I21" s="1231">
        <f>+(I19+I20)/I18</f>
        <v>9.6153846153846159E-2</v>
      </c>
      <c r="J21" s="5"/>
      <c r="K21" s="5"/>
    </row>
    <row r="22" spans="2:11" ht="36" customHeight="1" thickBot="1" x14ac:dyDescent="0.3">
      <c r="B22" s="46" t="s">
        <v>924</v>
      </c>
      <c r="C22" s="92"/>
      <c r="D22" s="1435" t="s">
        <v>1871</v>
      </c>
      <c r="E22" s="1436"/>
      <c r="F22" s="1436"/>
      <c r="G22" s="1436"/>
      <c r="H22" s="1436"/>
      <c r="I22" s="1437"/>
      <c r="J22" s="5"/>
      <c r="K22" s="5"/>
    </row>
    <row r="23" spans="2:11" ht="36" customHeight="1" thickBot="1" x14ac:dyDescent="0.3">
      <c r="B23" s="46" t="s">
        <v>926</v>
      </c>
      <c r="C23" s="92"/>
      <c r="D23" s="1435" t="s">
        <v>1024</v>
      </c>
      <c r="E23" s="1436"/>
      <c r="F23" s="1436"/>
      <c r="G23" s="1436"/>
      <c r="H23" s="1436"/>
      <c r="I23" s="1437"/>
      <c r="J23" s="5"/>
      <c r="K23" s="5"/>
    </row>
    <row r="24" spans="2:11" ht="15.75" thickBot="1" x14ac:dyDescent="0.3">
      <c r="B24" s="1"/>
      <c r="C24" s="75"/>
      <c r="D24" s="5"/>
      <c r="E24" s="5"/>
      <c r="F24" s="5"/>
      <c r="G24" s="5"/>
      <c r="H24" s="5"/>
      <c r="I24" s="5"/>
      <c r="J24" s="5"/>
      <c r="K24" s="5"/>
    </row>
    <row r="25" spans="2:11" ht="24" customHeight="1" thickBot="1" x14ac:dyDescent="0.3">
      <c r="B25" s="1426" t="s">
        <v>928</v>
      </c>
      <c r="C25" s="1427"/>
      <c r="D25" s="1427"/>
      <c r="E25" s="1428"/>
      <c r="F25" s="5"/>
      <c r="G25" s="5"/>
      <c r="H25" s="5"/>
      <c r="I25" s="5"/>
      <c r="J25" s="5"/>
      <c r="K25" s="5"/>
    </row>
    <row r="26" spans="2:11" ht="15.75" thickBot="1" x14ac:dyDescent="0.3">
      <c r="B26" s="1423">
        <v>1</v>
      </c>
      <c r="C26" s="93"/>
      <c r="D26" s="47" t="s">
        <v>929</v>
      </c>
      <c r="E26" s="160" t="s">
        <v>2093</v>
      </c>
      <c r="F26" s="5"/>
      <c r="G26" s="5"/>
      <c r="H26" s="5"/>
      <c r="I26" s="5"/>
      <c r="J26" s="5"/>
      <c r="K26" s="5"/>
    </row>
    <row r="27" spans="2:11" ht="15.75" thickBot="1" x14ac:dyDescent="0.3">
      <c r="B27" s="1424"/>
      <c r="C27" s="93"/>
      <c r="D27" s="40" t="s">
        <v>7</v>
      </c>
      <c r="E27" s="160" t="s">
        <v>2132</v>
      </c>
      <c r="F27" s="5"/>
      <c r="G27" s="5"/>
      <c r="H27" s="5"/>
      <c r="I27" s="5"/>
      <c r="J27" s="5"/>
      <c r="K27" s="5"/>
    </row>
    <row r="28" spans="2:11" ht="15.75" thickBot="1" x14ac:dyDescent="0.3">
      <c r="B28" s="1424"/>
      <c r="C28" s="93"/>
      <c r="D28" s="40" t="s">
        <v>930</v>
      </c>
      <c r="E28" s="160" t="s">
        <v>2146</v>
      </c>
      <c r="F28" s="5"/>
      <c r="G28" s="5"/>
      <c r="H28" s="5"/>
      <c r="I28" s="5"/>
      <c r="J28" s="5"/>
      <c r="K28" s="5"/>
    </row>
    <row r="29" spans="2:11" ht="15.75" thickBot="1" x14ac:dyDescent="0.3">
      <c r="B29" s="1424"/>
      <c r="C29" s="93"/>
      <c r="D29" s="40" t="s">
        <v>9</v>
      </c>
      <c r="E29" s="160" t="s">
        <v>2147</v>
      </c>
      <c r="F29" s="5"/>
      <c r="G29" s="5"/>
      <c r="H29" s="5"/>
      <c r="I29" s="5"/>
      <c r="J29" s="5"/>
      <c r="K29" s="5"/>
    </row>
    <row r="30" spans="2:11" ht="15.75" thickBot="1" x14ac:dyDescent="0.3">
      <c r="B30" s="1424"/>
      <c r="C30" s="93"/>
      <c r="D30" s="40" t="s">
        <v>11</v>
      </c>
      <c r="E30" s="569" t="s">
        <v>2148</v>
      </c>
      <c r="F30" s="5"/>
      <c r="G30" s="5"/>
      <c r="H30" s="5"/>
      <c r="I30" s="5"/>
      <c r="J30" s="5"/>
      <c r="K30" s="5"/>
    </row>
    <row r="31" spans="2:11" ht="15.75" thickBot="1" x14ac:dyDescent="0.3">
      <c r="B31" s="1424"/>
      <c r="C31" s="93"/>
      <c r="D31" s="40" t="s">
        <v>13</v>
      </c>
      <c r="E31" s="160">
        <v>6695278</v>
      </c>
      <c r="F31" s="5"/>
      <c r="G31" s="5"/>
      <c r="H31" s="5"/>
      <c r="I31" s="5"/>
      <c r="J31" s="5"/>
      <c r="K31" s="5"/>
    </row>
    <row r="32" spans="2:11" ht="15.75" thickBot="1" x14ac:dyDescent="0.3">
      <c r="B32" s="1425"/>
      <c r="C32" s="2"/>
      <c r="D32" s="40" t="s">
        <v>931</v>
      </c>
      <c r="E32" s="160" t="s">
        <v>2097</v>
      </c>
      <c r="F32" s="5"/>
      <c r="G32" s="5"/>
      <c r="H32" s="5"/>
      <c r="I32" s="5"/>
      <c r="J32" s="5"/>
      <c r="K32" s="5"/>
    </row>
    <row r="33" spans="2:11" ht="15.75" thickBot="1" x14ac:dyDescent="0.3">
      <c r="B33" s="1"/>
      <c r="C33" s="75"/>
      <c r="D33" s="5"/>
      <c r="E33" s="5"/>
      <c r="F33" s="5"/>
      <c r="G33" s="5"/>
      <c r="H33" s="5"/>
      <c r="I33" s="5"/>
      <c r="J33" s="5"/>
      <c r="K33" s="5"/>
    </row>
    <row r="34" spans="2:11" ht="15.75" thickBot="1" x14ac:dyDescent="0.3">
      <c r="B34" s="1426" t="s">
        <v>932</v>
      </c>
      <c r="C34" s="1427"/>
      <c r="D34" s="1427"/>
      <c r="E34" s="1428"/>
      <c r="F34" s="5"/>
      <c r="G34" s="5"/>
      <c r="H34" s="5"/>
      <c r="I34" s="5"/>
      <c r="J34" s="5"/>
      <c r="K34" s="5"/>
    </row>
    <row r="35" spans="2:11" ht="15.75" thickBot="1" x14ac:dyDescent="0.3">
      <c r="B35" s="1423">
        <v>1</v>
      </c>
      <c r="C35" s="93"/>
      <c r="D35" s="47" t="s">
        <v>929</v>
      </c>
      <c r="E35" s="217" t="s">
        <v>933</v>
      </c>
      <c r="F35" s="5"/>
      <c r="G35" s="5"/>
      <c r="H35" s="5"/>
      <c r="I35" s="5"/>
      <c r="J35" s="5"/>
      <c r="K35" s="5"/>
    </row>
    <row r="36" spans="2:11" ht="15.75" thickBot="1" x14ac:dyDescent="0.3">
      <c r="B36" s="1424"/>
      <c r="C36" s="93"/>
      <c r="D36" s="40" t="s">
        <v>7</v>
      </c>
      <c r="E36" s="313" t="s">
        <v>934</v>
      </c>
      <c r="F36" s="5"/>
      <c r="G36" s="5"/>
      <c r="H36" s="5"/>
      <c r="I36" s="5"/>
      <c r="J36" s="5"/>
      <c r="K36" s="5"/>
    </row>
    <row r="37" spans="2:11" ht="15.75" thickBot="1" x14ac:dyDescent="0.3">
      <c r="B37" s="1424"/>
      <c r="C37" s="93"/>
      <c r="D37" s="40" t="s">
        <v>930</v>
      </c>
      <c r="E37" s="165"/>
      <c r="F37" s="5"/>
      <c r="G37" s="5"/>
      <c r="H37" s="5"/>
      <c r="I37" s="5"/>
      <c r="J37" s="5"/>
      <c r="K37" s="5"/>
    </row>
    <row r="38" spans="2:11" ht="15.75" thickBot="1" x14ac:dyDescent="0.3">
      <c r="B38" s="1424"/>
      <c r="C38" s="93"/>
      <c r="D38" s="40" t="s">
        <v>9</v>
      </c>
      <c r="E38" s="165"/>
      <c r="F38" s="5"/>
      <c r="G38" s="5"/>
      <c r="H38" s="5"/>
      <c r="I38" s="5"/>
      <c r="J38" s="5"/>
      <c r="K38" s="5"/>
    </row>
    <row r="39" spans="2:11" ht="15.75" thickBot="1" x14ac:dyDescent="0.3">
      <c r="B39" s="1424"/>
      <c r="C39" s="93"/>
      <c r="D39" s="40" t="s">
        <v>11</v>
      </c>
      <c r="E39" s="165"/>
      <c r="F39" s="5"/>
      <c r="G39" s="5"/>
      <c r="H39" s="5"/>
      <c r="I39" s="5"/>
      <c r="J39" s="5"/>
      <c r="K39" s="5"/>
    </row>
    <row r="40" spans="2:11" ht="15.75" thickBot="1" x14ac:dyDescent="0.3">
      <c r="B40" s="1424"/>
      <c r="C40" s="93"/>
      <c r="D40" s="40" t="s">
        <v>13</v>
      </c>
      <c r="E40" s="165"/>
      <c r="F40" s="5"/>
      <c r="G40" s="5"/>
      <c r="H40" s="5"/>
      <c r="I40" s="5"/>
      <c r="J40" s="5"/>
      <c r="K40" s="5"/>
    </row>
    <row r="41" spans="2:11" ht="15.75" thickBot="1" x14ac:dyDescent="0.3">
      <c r="B41" s="1425"/>
      <c r="C41" s="2"/>
      <c r="D41" s="40" t="s">
        <v>931</v>
      </c>
      <c r="E41" s="165"/>
      <c r="F41" s="5"/>
      <c r="G41" s="5"/>
      <c r="H41" s="5"/>
      <c r="I41" s="5"/>
      <c r="J41" s="5"/>
      <c r="K41" s="5"/>
    </row>
    <row r="42" spans="2:11" ht="15.75" thickBot="1" x14ac:dyDescent="0.3">
      <c r="B42" s="1"/>
      <c r="C42" s="75"/>
      <c r="D42" s="5"/>
      <c r="E42" s="5"/>
      <c r="F42" s="5"/>
      <c r="G42" s="5"/>
      <c r="H42" s="5"/>
      <c r="I42" s="5"/>
      <c r="J42" s="5"/>
      <c r="K42" s="5"/>
    </row>
    <row r="43" spans="2:11" ht="15" customHeight="1" thickBot="1" x14ac:dyDescent="0.3">
      <c r="B43" s="121" t="s">
        <v>935</v>
      </c>
      <c r="C43" s="122"/>
      <c r="D43" s="122"/>
      <c r="E43" s="123"/>
      <c r="G43" s="5"/>
      <c r="H43" s="5"/>
      <c r="I43" s="5"/>
      <c r="J43" s="5"/>
      <c r="K43" s="5"/>
    </row>
    <row r="44" spans="2:11" ht="24.75" thickBot="1" x14ac:dyDescent="0.3">
      <c r="B44" s="46" t="s">
        <v>936</v>
      </c>
      <c r="C44" s="40" t="s">
        <v>937</v>
      </c>
      <c r="D44" s="40" t="s">
        <v>938</v>
      </c>
      <c r="E44" s="40" t="s">
        <v>939</v>
      </c>
      <c r="F44" s="5"/>
      <c r="G44" s="5"/>
      <c r="H44" s="5"/>
      <c r="I44" s="5"/>
      <c r="J44" s="5"/>
    </row>
    <row r="45" spans="2:11" ht="60.75" thickBot="1" x14ac:dyDescent="0.3">
      <c r="B45" s="48">
        <v>42401</v>
      </c>
      <c r="C45" s="40">
        <v>0.01</v>
      </c>
      <c r="D45" s="49" t="s">
        <v>1872</v>
      </c>
      <c r="E45" s="40"/>
      <c r="F45" s="5"/>
      <c r="G45" s="5"/>
      <c r="H45" s="5"/>
      <c r="I45" s="5"/>
      <c r="J45" s="5"/>
    </row>
    <row r="46" spans="2:11" ht="15.75" thickBot="1" x14ac:dyDescent="0.3">
      <c r="B46" s="1"/>
      <c r="C46" s="75"/>
      <c r="D46" s="5"/>
      <c r="E46" s="5"/>
      <c r="F46" s="5"/>
      <c r="G46" s="5"/>
      <c r="H46" s="5"/>
      <c r="I46" s="5"/>
      <c r="J46" s="5"/>
      <c r="K46" s="5"/>
    </row>
    <row r="47" spans="2:11" x14ac:dyDescent="0.25">
      <c r="B47" s="128" t="s">
        <v>846</v>
      </c>
      <c r="C47" s="95"/>
      <c r="D47" s="5"/>
      <c r="E47" s="5"/>
      <c r="F47" s="5"/>
      <c r="G47" s="5"/>
      <c r="H47" s="5"/>
      <c r="I47" s="5"/>
      <c r="J47" s="5"/>
      <c r="K47" s="5"/>
    </row>
    <row r="48" spans="2:11" x14ac:dyDescent="0.25">
      <c r="B48" s="1608"/>
      <c r="C48" s="1609"/>
      <c r="D48" s="1609"/>
      <c r="E48" s="1610"/>
      <c r="F48" s="5"/>
      <c r="G48" s="5"/>
      <c r="H48" s="5"/>
      <c r="I48" s="5"/>
      <c r="J48" s="5"/>
      <c r="K48" s="5"/>
    </row>
    <row r="49" spans="2:11" x14ac:dyDescent="0.25">
      <c r="B49" s="1611"/>
      <c r="C49" s="1612"/>
      <c r="D49" s="1612"/>
      <c r="E49" s="1613"/>
      <c r="F49" s="5"/>
      <c r="G49" s="5"/>
      <c r="H49" s="5"/>
      <c r="I49" s="5"/>
      <c r="J49" s="5"/>
      <c r="K49" s="5"/>
    </row>
    <row r="50" spans="2:11" ht="15.75" thickBot="1" x14ac:dyDescent="0.3">
      <c r="B50" s="5"/>
      <c r="D50" s="5"/>
      <c r="E50" s="5"/>
      <c r="F50" s="5"/>
      <c r="G50" s="5"/>
      <c r="H50" s="5"/>
      <c r="I50" s="5"/>
      <c r="J50" s="5"/>
      <c r="K50" s="5"/>
    </row>
    <row r="51" spans="2:11" ht="24.75" thickBot="1" x14ac:dyDescent="0.3">
      <c r="B51" s="50" t="s">
        <v>941</v>
      </c>
      <c r="C51" s="96"/>
      <c r="D51" s="5"/>
      <c r="E51" s="5"/>
      <c r="F51" s="5"/>
      <c r="G51" s="5"/>
      <c r="H51" s="5"/>
      <c r="I51" s="5"/>
      <c r="J51" s="5"/>
      <c r="K51" s="5"/>
    </row>
    <row r="52" spans="2:11" ht="15.75" thickBot="1" x14ac:dyDescent="0.3">
      <c r="B52" s="1"/>
      <c r="C52" s="75"/>
      <c r="D52" s="5"/>
      <c r="E52" s="5"/>
      <c r="F52" s="5"/>
      <c r="G52" s="5"/>
      <c r="H52" s="5"/>
      <c r="I52" s="5"/>
      <c r="J52" s="5"/>
      <c r="K52" s="5"/>
    </row>
    <row r="53" spans="2:11" ht="84.75" thickBot="1" x14ac:dyDescent="0.3">
      <c r="B53" s="51" t="s">
        <v>942</v>
      </c>
      <c r="C53" s="97"/>
      <c r="D53" s="43" t="s">
        <v>1873</v>
      </c>
      <c r="E53" s="5"/>
      <c r="F53" s="5"/>
      <c r="G53" s="5"/>
      <c r="H53" s="5"/>
      <c r="I53" s="5"/>
      <c r="J53" s="5"/>
      <c r="K53" s="5"/>
    </row>
    <row r="54" spans="2:11" x14ac:dyDescent="0.25">
      <c r="B54" s="1423" t="s">
        <v>944</v>
      </c>
      <c r="C54" s="93"/>
      <c r="D54" s="52" t="s">
        <v>945</v>
      </c>
      <c r="E54" s="5"/>
      <c r="F54" s="5"/>
      <c r="G54" s="5"/>
      <c r="H54" s="5"/>
      <c r="I54" s="5"/>
      <c r="J54" s="5"/>
      <c r="K54" s="5"/>
    </row>
    <row r="55" spans="2:11" ht="72" x14ac:dyDescent="0.25">
      <c r="B55" s="1424"/>
      <c r="C55" s="93"/>
      <c r="D55" s="52" t="s">
        <v>1874</v>
      </c>
      <c r="E55" s="5"/>
      <c r="F55" s="5"/>
      <c r="G55" s="5"/>
      <c r="H55" s="5"/>
      <c r="I55" s="5"/>
      <c r="J55" s="5"/>
      <c r="K55" s="5"/>
    </row>
    <row r="56" spans="2:11" x14ac:dyDescent="0.25">
      <c r="B56" s="1424"/>
      <c r="C56" s="93"/>
      <c r="D56" s="52" t="s">
        <v>1029</v>
      </c>
      <c r="E56" s="5"/>
      <c r="F56" s="5"/>
      <c r="G56" s="5"/>
      <c r="H56" s="5"/>
      <c r="I56" s="5"/>
      <c r="J56" s="5"/>
      <c r="K56" s="5"/>
    </row>
    <row r="57" spans="2:11" ht="24" x14ac:dyDescent="0.25">
      <c r="B57" s="1424"/>
      <c r="C57" s="93"/>
      <c r="D57" s="45" t="s">
        <v>1875</v>
      </c>
      <c r="E57" s="5"/>
      <c r="F57" s="5"/>
      <c r="G57" s="5"/>
      <c r="H57" s="5"/>
      <c r="I57" s="5"/>
      <c r="J57" s="5"/>
      <c r="K57" s="5"/>
    </row>
    <row r="58" spans="2:11" ht="24" x14ac:dyDescent="0.25">
      <c r="B58" s="1424"/>
      <c r="C58" s="93"/>
      <c r="D58" s="45" t="s">
        <v>1876</v>
      </c>
      <c r="E58" s="5"/>
      <c r="F58" s="5"/>
      <c r="G58" s="5"/>
      <c r="H58" s="5"/>
      <c r="I58" s="5"/>
      <c r="J58" s="5"/>
      <c r="K58" s="5"/>
    </row>
    <row r="59" spans="2:11" ht="15.75" thickBot="1" x14ac:dyDescent="0.3">
      <c r="B59" s="1425"/>
      <c r="C59" s="2"/>
      <c r="D59" s="40" t="s">
        <v>950</v>
      </c>
      <c r="E59" s="5"/>
      <c r="F59" s="5"/>
      <c r="G59" s="5"/>
      <c r="H59" s="5"/>
      <c r="I59" s="5"/>
      <c r="J59" s="5"/>
      <c r="K59" s="5"/>
    </row>
    <row r="60" spans="2:11" ht="24.75" thickBot="1" x14ac:dyDescent="0.3">
      <c r="B60" s="46" t="s">
        <v>957</v>
      </c>
      <c r="C60" s="2"/>
      <c r="D60" s="40"/>
      <c r="E60" s="5"/>
      <c r="F60" s="5"/>
      <c r="G60" s="5"/>
      <c r="H60" s="5"/>
      <c r="I60" s="5"/>
      <c r="J60" s="5"/>
      <c r="K60" s="5"/>
    </row>
    <row r="61" spans="2:11" ht="132" x14ac:dyDescent="0.25">
      <c r="B61" s="1423" t="s">
        <v>958</v>
      </c>
      <c r="C61" s="93"/>
      <c r="D61" s="45" t="s">
        <v>1877</v>
      </c>
      <c r="E61" s="5"/>
      <c r="F61" s="5"/>
      <c r="G61" s="5"/>
      <c r="H61" s="5"/>
      <c r="I61" s="5"/>
      <c r="J61" s="5"/>
      <c r="K61" s="5"/>
    </row>
    <row r="62" spans="2:11" ht="324" x14ac:dyDescent="0.25">
      <c r="B62" s="1424"/>
      <c r="C62" s="93"/>
      <c r="D62" s="45" t="s">
        <v>1878</v>
      </c>
      <c r="E62" s="5"/>
      <c r="F62" s="5"/>
      <c r="G62" s="5"/>
      <c r="H62" s="5"/>
      <c r="I62" s="5"/>
      <c r="J62" s="5"/>
      <c r="K62" s="5"/>
    </row>
    <row r="63" spans="2:11" ht="84" x14ac:dyDescent="0.25">
      <c r="B63" s="1424"/>
      <c r="C63" s="93"/>
      <c r="D63" s="45" t="s">
        <v>1879</v>
      </c>
      <c r="E63" s="5"/>
      <c r="F63" s="5"/>
      <c r="G63" s="5"/>
      <c r="H63" s="5"/>
      <c r="I63" s="5"/>
      <c r="J63" s="5"/>
      <c r="K63" s="5"/>
    </row>
    <row r="64" spans="2:11" ht="72" x14ac:dyDescent="0.25">
      <c r="B64" s="1424"/>
      <c r="C64" s="93"/>
      <c r="D64" s="45" t="s">
        <v>1880</v>
      </c>
      <c r="E64" s="5"/>
      <c r="F64" s="5"/>
      <c r="G64" s="5"/>
      <c r="H64" s="5"/>
      <c r="I64" s="5"/>
      <c r="J64" s="5"/>
      <c r="K64" s="5"/>
    </row>
    <row r="65" spans="2:11" ht="60.75" thickBot="1" x14ac:dyDescent="0.3">
      <c r="B65" s="1425"/>
      <c r="C65" s="2"/>
      <c r="D65" s="40" t="s">
        <v>1881</v>
      </c>
      <c r="E65" s="5"/>
      <c r="F65" s="5"/>
      <c r="G65" s="5"/>
      <c r="H65" s="5"/>
      <c r="I65" s="5"/>
      <c r="J65" s="5"/>
      <c r="K65" s="5"/>
    </row>
    <row r="66" spans="2:11" x14ac:dyDescent="0.25">
      <c r="B66" s="1423" t="s">
        <v>975</v>
      </c>
      <c r="C66" s="93"/>
      <c r="D66" s="45"/>
      <c r="E66" s="5"/>
      <c r="F66" s="5"/>
      <c r="G66" s="5"/>
      <c r="H66" s="5"/>
      <c r="I66" s="5"/>
      <c r="J66" s="5"/>
      <c r="K66" s="5"/>
    </row>
    <row r="67" spans="2:11" x14ac:dyDescent="0.25">
      <c r="B67" s="1424"/>
      <c r="C67" s="93"/>
      <c r="D67" s="16"/>
      <c r="E67" s="5"/>
      <c r="F67" s="5"/>
      <c r="G67" s="5"/>
      <c r="H67" s="5"/>
      <c r="I67" s="5"/>
      <c r="J67" s="5"/>
      <c r="K67" s="5"/>
    </row>
    <row r="68" spans="2:11" x14ac:dyDescent="0.25">
      <c r="B68" s="1424"/>
      <c r="C68" s="93"/>
      <c r="D68" s="45" t="s">
        <v>976</v>
      </c>
      <c r="E68" s="5"/>
      <c r="F68" s="5"/>
      <c r="G68" s="5"/>
      <c r="H68" s="5"/>
      <c r="I68" s="5"/>
      <c r="J68" s="5"/>
      <c r="K68" s="5"/>
    </row>
    <row r="69" spans="2:11" ht="25.5" x14ac:dyDescent="0.25">
      <c r="B69" s="1424"/>
      <c r="C69" s="93"/>
      <c r="D69" s="45" t="s">
        <v>1882</v>
      </c>
      <c r="E69" s="5"/>
      <c r="F69" s="5"/>
      <c r="G69" s="5"/>
      <c r="H69" s="5"/>
      <c r="I69" s="5"/>
      <c r="J69" s="5"/>
      <c r="K69" s="5"/>
    </row>
    <row r="70" spans="2:11" ht="37.5" x14ac:dyDescent="0.25">
      <c r="B70" s="1424"/>
      <c r="C70" s="93"/>
      <c r="D70" s="45" t="s">
        <v>1883</v>
      </c>
      <c r="E70" s="5"/>
      <c r="F70" s="5"/>
      <c r="G70" s="5"/>
      <c r="H70" s="5"/>
      <c r="I70" s="5"/>
      <c r="J70" s="5"/>
      <c r="K70" s="5"/>
    </row>
    <row r="71" spans="2:11" ht="37.5" x14ac:dyDescent="0.25">
      <c r="B71" s="1424"/>
      <c r="C71" s="93"/>
      <c r="D71" s="45" t="s">
        <v>1884</v>
      </c>
      <c r="E71" s="5"/>
      <c r="F71" s="5"/>
      <c r="G71" s="5"/>
      <c r="H71" s="5"/>
      <c r="I71" s="5"/>
      <c r="J71" s="5"/>
      <c r="K71" s="5"/>
    </row>
    <row r="72" spans="2:11" ht="36" x14ac:dyDescent="0.25">
      <c r="B72" s="1424"/>
      <c r="C72" s="93"/>
      <c r="D72" s="45" t="s">
        <v>1885</v>
      </c>
      <c r="E72" s="5"/>
      <c r="F72" s="5"/>
      <c r="G72" s="5"/>
      <c r="H72" s="5"/>
      <c r="I72" s="5"/>
      <c r="J72" s="5"/>
      <c r="K72" s="5"/>
    </row>
    <row r="73" spans="2:11" ht="120.75" thickBot="1" x14ac:dyDescent="0.3">
      <c r="B73" s="1425"/>
      <c r="C73" s="2"/>
      <c r="D73" s="40" t="s">
        <v>1886</v>
      </c>
      <c r="E73" s="5"/>
      <c r="F73" s="5"/>
      <c r="G73" s="5"/>
      <c r="H73" s="5"/>
      <c r="I73" s="5"/>
      <c r="J73" s="5"/>
      <c r="K73" s="5"/>
    </row>
    <row r="74" spans="2:11" x14ac:dyDescent="0.25">
      <c r="B74" s="5"/>
      <c r="D74" s="5"/>
      <c r="E74" s="5"/>
      <c r="F74" s="5"/>
      <c r="G74" s="5"/>
      <c r="H74" s="5"/>
      <c r="I74" s="5"/>
      <c r="J74" s="5"/>
      <c r="K74" s="5"/>
    </row>
    <row r="75" spans="2:11" x14ac:dyDescent="0.25">
      <c r="B75" s="5"/>
      <c r="D75" s="5"/>
      <c r="E75" s="5"/>
      <c r="F75" s="5"/>
      <c r="G75" s="5"/>
      <c r="H75" s="5"/>
      <c r="I75" s="5"/>
      <c r="J75" s="5"/>
      <c r="K75" s="5"/>
    </row>
    <row r="76" spans="2:11" x14ac:dyDescent="0.25">
      <c r="B76" s="5"/>
      <c r="D76" s="5"/>
      <c r="E76" s="5"/>
      <c r="F76" s="5"/>
      <c r="G76" s="5"/>
      <c r="H76" s="5"/>
      <c r="I76" s="5"/>
      <c r="J76" s="5"/>
      <c r="K76" s="5"/>
    </row>
    <row r="77" spans="2:11" x14ac:dyDescent="0.25">
      <c r="B77" s="5"/>
      <c r="D77" s="5"/>
      <c r="E77" s="5"/>
      <c r="F77" s="5"/>
      <c r="G77" s="5"/>
      <c r="H77" s="5"/>
      <c r="I77" s="5"/>
      <c r="J77" s="5"/>
      <c r="K77" s="5"/>
    </row>
    <row r="78" spans="2:11" x14ac:dyDescent="0.25">
      <c r="B78" s="5"/>
      <c r="D78" s="5"/>
      <c r="E78" s="5"/>
      <c r="F78" s="5"/>
      <c r="G78" s="5"/>
      <c r="H78" s="5"/>
      <c r="I78" s="5"/>
      <c r="J78" s="5"/>
      <c r="K78" s="5"/>
    </row>
    <row r="79" spans="2:11" x14ac:dyDescent="0.25">
      <c r="B79" s="5"/>
      <c r="D79" s="5"/>
      <c r="E79" s="5"/>
      <c r="F79" s="5"/>
      <c r="G79" s="5"/>
      <c r="H79" s="5"/>
      <c r="I79" s="5"/>
      <c r="J79" s="5"/>
      <c r="K79" s="5"/>
    </row>
    <row r="80" spans="2:11" x14ac:dyDescent="0.25">
      <c r="B80" s="5"/>
      <c r="D80" s="5"/>
      <c r="E80" s="5"/>
      <c r="F80" s="5"/>
      <c r="G80" s="5"/>
      <c r="H80" s="5"/>
      <c r="I80" s="5"/>
      <c r="J80" s="5"/>
      <c r="K80" s="5"/>
    </row>
    <row r="81" spans="2:11" x14ac:dyDescent="0.25">
      <c r="B81" s="5"/>
      <c r="D81" s="5"/>
      <c r="E81" s="5"/>
      <c r="F81" s="5"/>
      <c r="G81" s="5"/>
      <c r="H81" s="5"/>
      <c r="I81" s="5"/>
      <c r="J81" s="5"/>
      <c r="K81" s="5"/>
    </row>
    <row r="82" spans="2:11" x14ac:dyDescent="0.25">
      <c r="B82" s="5"/>
      <c r="D82" s="5"/>
      <c r="E82" s="5"/>
      <c r="F82" s="5"/>
      <c r="G82" s="5"/>
      <c r="H82" s="5"/>
      <c r="I82" s="5"/>
      <c r="J82" s="5"/>
      <c r="K82" s="5"/>
    </row>
    <row r="83" spans="2:11" x14ac:dyDescent="0.25">
      <c r="B83" s="5"/>
      <c r="D83" s="5"/>
      <c r="E83" s="5"/>
      <c r="F83" s="5"/>
      <c r="G83" s="5"/>
      <c r="H83" s="5"/>
      <c r="I83" s="5"/>
      <c r="J83" s="5"/>
      <c r="K83" s="5"/>
    </row>
    <row r="84" spans="2:11" x14ac:dyDescent="0.25">
      <c r="B84" s="5"/>
      <c r="D84" s="5"/>
      <c r="E84" s="5"/>
      <c r="F84" s="5"/>
      <c r="G84" s="5"/>
      <c r="H84" s="5"/>
      <c r="I84" s="5"/>
      <c r="J84" s="5"/>
      <c r="K84" s="5"/>
    </row>
    <row r="85" spans="2:11" x14ac:dyDescent="0.25">
      <c r="B85" s="5"/>
      <c r="D85" s="5"/>
      <c r="E85" s="5"/>
      <c r="F85" s="5"/>
      <c r="G85" s="5"/>
      <c r="H85" s="5"/>
      <c r="I85" s="5"/>
      <c r="J85" s="5"/>
      <c r="K85" s="5"/>
    </row>
    <row r="86" spans="2:11" x14ac:dyDescent="0.25">
      <c r="B86" s="5"/>
      <c r="D86" s="5"/>
      <c r="E86" s="5"/>
      <c r="F86" s="5"/>
      <c r="G86" s="5"/>
      <c r="H86" s="5"/>
      <c r="I86" s="5"/>
      <c r="J86" s="5"/>
      <c r="K86" s="5"/>
    </row>
    <row r="87" spans="2:11" x14ac:dyDescent="0.25">
      <c r="B87" s="5"/>
      <c r="D87" s="5"/>
      <c r="E87" s="5"/>
      <c r="F87" s="5"/>
      <c r="G87" s="5"/>
      <c r="H87" s="5"/>
      <c r="I87" s="5"/>
      <c r="J87" s="5"/>
      <c r="K87" s="5"/>
    </row>
    <row r="88" spans="2:11" x14ac:dyDescent="0.25">
      <c r="B88" s="5"/>
      <c r="D88" s="5"/>
      <c r="E88" s="5"/>
      <c r="F88" s="5"/>
      <c r="G88" s="5"/>
      <c r="H88" s="5"/>
      <c r="I88" s="5"/>
      <c r="J88" s="5"/>
      <c r="K88" s="5"/>
    </row>
    <row r="89" spans="2:11" x14ac:dyDescent="0.25">
      <c r="B89" s="5"/>
      <c r="D89" s="5"/>
      <c r="E89" s="5"/>
      <c r="F89" s="5"/>
      <c r="G89" s="5"/>
      <c r="H89" s="5"/>
      <c r="I89" s="5"/>
      <c r="J89" s="5"/>
      <c r="K89" s="5"/>
    </row>
    <row r="90" spans="2:11" x14ac:dyDescent="0.25">
      <c r="B90" s="5"/>
      <c r="D90" s="5"/>
      <c r="E90" s="5"/>
      <c r="F90" s="5"/>
      <c r="G90" s="5"/>
      <c r="H90" s="5"/>
      <c r="I90" s="5"/>
      <c r="J90" s="5"/>
      <c r="K90" s="5"/>
    </row>
    <row r="91" spans="2:11" x14ac:dyDescent="0.25">
      <c r="B91" s="5"/>
      <c r="D91" s="5"/>
      <c r="E91" s="5"/>
      <c r="F91" s="5"/>
      <c r="G91" s="5"/>
      <c r="H91" s="5"/>
      <c r="I91" s="5"/>
      <c r="J91" s="5"/>
      <c r="K91" s="5"/>
    </row>
    <row r="92" spans="2:11" x14ac:dyDescent="0.25">
      <c r="B92" s="5"/>
      <c r="D92" s="5"/>
      <c r="E92" s="5"/>
      <c r="F92" s="5"/>
      <c r="G92" s="5"/>
      <c r="H92" s="5"/>
      <c r="I92" s="5"/>
      <c r="J92" s="5"/>
      <c r="K92" s="5"/>
    </row>
    <row r="93" spans="2:11" x14ac:dyDescent="0.25">
      <c r="B93" s="5"/>
      <c r="D93" s="5"/>
      <c r="E93" s="5"/>
      <c r="F93" s="5"/>
      <c r="G93" s="5"/>
      <c r="H93" s="5"/>
      <c r="I93" s="5"/>
      <c r="J93" s="5"/>
      <c r="K93" s="5"/>
    </row>
    <row r="94" spans="2:11" x14ac:dyDescent="0.25">
      <c r="B94" s="5"/>
      <c r="D94" s="5"/>
      <c r="E94" s="5"/>
      <c r="F94" s="5"/>
      <c r="G94" s="5"/>
      <c r="H94" s="5"/>
      <c r="I94" s="5"/>
      <c r="J94" s="5"/>
      <c r="K94" s="5"/>
    </row>
    <row r="95" spans="2:11" x14ac:dyDescent="0.25">
      <c r="B95" s="5"/>
      <c r="D95" s="5"/>
      <c r="E95" s="5"/>
      <c r="F95" s="5"/>
      <c r="G95" s="5"/>
      <c r="H95" s="5"/>
      <c r="I95" s="5"/>
      <c r="J95" s="5"/>
      <c r="K95" s="5"/>
    </row>
    <row r="96" spans="2:11" x14ac:dyDescent="0.25">
      <c r="B96" s="5"/>
      <c r="D96" s="5"/>
      <c r="E96" s="5"/>
      <c r="F96" s="5"/>
      <c r="G96" s="5"/>
      <c r="H96" s="5"/>
      <c r="I96" s="5"/>
      <c r="J96" s="5"/>
      <c r="K96" s="5"/>
    </row>
    <row r="97" spans="2:11" x14ac:dyDescent="0.25">
      <c r="B97" s="5"/>
      <c r="D97" s="5"/>
      <c r="E97" s="5"/>
      <c r="F97" s="5"/>
      <c r="G97" s="5"/>
      <c r="H97" s="5"/>
      <c r="I97" s="5"/>
      <c r="J97" s="5"/>
      <c r="K97" s="5"/>
    </row>
    <row r="98" spans="2:11" x14ac:dyDescent="0.25">
      <c r="B98" s="5"/>
      <c r="D98" s="5"/>
      <c r="E98" s="5"/>
      <c r="F98" s="5"/>
      <c r="G98" s="5"/>
      <c r="H98" s="5"/>
      <c r="I98" s="5"/>
      <c r="J98" s="5"/>
      <c r="K98" s="5"/>
    </row>
    <row r="99" spans="2:11" x14ac:dyDescent="0.25">
      <c r="B99" s="5"/>
      <c r="D99" s="5"/>
      <c r="E99" s="5"/>
      <c r="F99" s="5"/>
      <c r="G99" s="5"/>
      <c r="H99" s="5"/>
      <c r="I99" s="5"/>
      <c r="J99" s="5"/>
      <c r="K99" s="5"/>
    </row>
    <row r="100" spans="2:11" x14ac:dyDescent="0.25">
      <c r="B100" s="5"/>
      <c r="D100" s="5"/>
      <c r="E100" s="5"/>
      <c r="F100" s="5"/>
      <c r="G100" s="5"/>
      <c r="H100" s="5"/>
      <c r="I100" s="5"/>
      <c r="J100" s="5"/>
      <c r="K100" s="5"/>
    </row>
    <row r="101" spans="2:11" x14ac:dyDescent="0.25">
      <c r="B101" s="5"/>
      <c r="D101" s="5"/>
      <c r="E101" s="5"/>
      <c r="F101" s="5"/>
      <c r="G101" s="5"/>
      <c r="H101" s="5"/>
      <c r="I101" s="5"/>
      <c r="J101" s="5"/>
      <c r="K101" s="5"/>
    </row>
    <row r="102" spans="2:11" x14ac:dyDescent="0.25">
      <c r="B102" s="5"/>
      <c r="D102" s="5"/>
      <c r="E102" s="5"/>
      <c r="F102" s="5"/>
      <c r="G102" s="5"/>
      <c r="H102" s="5"/>
      <c r="I102" s="5"/>
      <c r="J102" s="5"/>
      <c r="K102" s="5"/>
    </row>
    <row r="103" spans="2:11" x14ac:dyDescent="0.25">
      <c r="B103" s="5"/>
      <c r="D103" s="5"/>
      <c r="E103" s="5"/>
      <c r="F103" s="5"/>
      <c r="G103" s="5"/>
      <c r="H103" s="5"/>
      <c r="I103" s="5"/>
      <c r="J103" s="5"/>
      <c r="K103" s="5"/>
    </row>
    <row r="104" spans="2:11" x14ac:dyDescent="0.25">
      <c r="B104" s="5"/>
      <c r="D104" s="5"/>
      <c r="E104" s="5"/>
      <c r="F104" s="5"/>
      <c r="G104" s="5"/>
      <c r="H104" s="5"/>
      <c r="I104" s="5"/>
      <c r="J104" s="5"/>
      <c r="K104" s="5"/>
    </row>
    <row r="105" spans="2:11" x14ac:dyDescent="0.25">
      <c r="B105" s="5"/>
      <c r="D105" s="5"/>
      <c r="E105" s="5"/>
      <c r="F105" s="5"/>
      <c r="G105" s="5"/>
      <c r="H105" s="5"/>
      <c r="I105" s="5"/>
      <c r="J105" s="5"/>
      <c r="K105" s="5"/>
    </row>
    <row r="106" spans="2:11" x14ac:dyDescent="0.25">
      <c r="B106" s="5"/>
      <c r="D106" s="5"/>
      <c r="E106" s="5"/>
      <c r="F106" s="5"/>
      <c r="G106" s="5"/>
      <c r="H106" s="5"/>
      <c r="I106" s="5"/>
      <c r="J106" s="5"/>
      <c r="K106" s="5"/>
    </row>
    <row r="107" spans="2:11" x14ac:dyDescent="0.25">
      <c r="B107" s="5"/>
      <c r="D107" s="5"/>
      <c r="E107" s="5"/>
      <c r="F107" s="5"/>
      <c r="G107" s="5"/>
      <c r="H107" s="5"/>
      <c r="I107" s="5"/>
      <c r="J107" s="5"/>
      <c r="K107" s="5"/>
    </row>
    <row r="108" spans="2:11" x14ac:dyDescent="0.25">
      <c r="B108" s="5"/>
      <c r="D108" s="5"/>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F10">
    <cfRule type="notContainsBlanks" dxfId="33" priority="4">
      <formula>LEN(TRIM(F10))&gt;0</formula>
    </cfRule>
  </conditionalFormatting>
  <conditionalFormatting sqref="F11:S11">
    <cfRule type="expression" dxfId="32" priority="2">
      <formula>E11="NO SE REPORTA"</formula>
    </cfRule>
    <cfRule type="expression" dxfId="31" priority="3">
      <formula>E10="NO APLICA"</formula>
    </cfRule>
  </conditionalFormatting>
  <conditionalFormatting sqref="E12:R12">
    <cfRule type="expression" dxfId="30"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8:H2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30" r:id="rId1"/>
  </hyperlinks>
  <pageMargins left="0.25" right="0.25" top="0.75" bottom="0.75" header="0.3" footer="0.3"/>
  <pageSetup paperSize="178" orientation="landscape" horizontalDpi="1200" verticalDpi="120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U84"/>
  <sheetViews>
    <sheetView showGridLines="0" zoomScale="98" zoomScaleNormal="98" workbookViewId="0">
      <selection activeCell="E21" sqref="E21"/>
    </sheetView>
  </sheetViews>
  <sheetFormatPr baseColWidth="10" defaultColWidth="10.7109375" defaultRowHeight="15" x14ac:dyDescent="0.25"/>
  <cols>
    <col min="1" max="1" width="1.85546875" customWidth="1"/>
    <col min="2" max="2" width="12.85546875" customWidth="1"/>
    <col min="3" max="3" width="5" style="86" bestFit="1" customWidth="1"/>
    <col min="4" max="4" width="34.85546875" customWidth="1"/>
    <col min="5" max="5" width="12.1406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113</v>
      </c>
      <c r="B5" s="1395"/>
      <c r="C5" s="1395"/>
      <c r="D5" s="1395"/>
      <c r="E5" s="1395"/>
      <c r="F5" s="1395"/>
      <c r="G5" s="1395"/>
      <c r="H5" s="1395"/>
      <c r="I5" s="1395"/>
      <c r="J5" s="1395"/>
      <c r="K5" s="1395"/>
      <c r="L5" s="1395"/>
      <c r="M5" s="1395"/>
      <c r="N5" s="1395"/>
      <c r="O5" s="1395"/>
      <c r="P5" s="1396"/>
    </row>
    <row r="6" spans="1:21" ht="15.75" thickBot="1" x14ac:dyDescent="0.3">
      <c r="B6" s="1" t="s">
        <v>878</v>
      </c>
      <c r="C6" s="75"/>
      <c r="D6" s="5"/>
      <c r="E6" s="73">
        <v>21</v>
      </c>
      <c r="F6" s="5" t="s">
        <v>879</v>
      </c>
      <c r="G6" s="5"/>
      <c r="H6" s="5"/>
      <c r="I6" s="5"/>
      <c r="J6" s="5"/>
      <c r="K6" s="5"/>
    </row>
    <row r="7" spans="1:21" ht="15.75" thickBot="1" x14ac:dyDescent="0.3">
      <c r="B7" s="171" t="s">
        <v>881</v>
      </c>
      <c r="C7" s="210">
        <v>2022</v>
      </c>
      <c r="D7" s="212">
        <f>IF(E9="NO APLICA","NO APLICA",IF(E10="NO SE REPORTA","SIN INFORMACION",+F17))</f>
        <v>1</v>
      </c>
      <c r="E7" s="220"/>
      <c r="F7" s="5" t="s">
        <v>880</v>
      </c>
      <c r="G7" s="5"/>
      <c r="H7" s="5"/>
      <c r="I7" s="5"/>
      <c r="J7" s="5"/>
      <c r="K7" s="5"/>
    </row>
    <row r="8" spans="1:21" x14ac:dyDescent="0.25">
      <c r="B8" s="356" t="s">
        <v>883</v>
      </c>
      <c r="E8" s="211"/>
      <c r="F8" s="5" t="s">
        <v>882</v>
      </c>
      <c r="G8" s="5"/>
      <c r="H8" s="5"/>
      <c r="I8" s="5"/>
      <c r="J8" s="5"/>
      <c r="K8" s="5"/>
    </row>
    <row r="9" spans="1:21" x14ac:dyDescent="0.25">
      <c r="B9" s="1447" t="s">
        <v>884</v>
      </c>
      <c r="C9" s="1447"/>
      <c r="D9" s="1447"/>
      <c r="E9" s="359" t="s">
        <v>885</v>
      </c>
      <c r="F9" s="1480"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481"/>
      <c r="H9" s="1481"/>
      <c r="I9" s="1481"/>
      <c r="J9" s="1481"/>
      <c r="K9" s="1481"/>
      <c r="L9" s="1481"/>
      <c r="M9" s="1481"/>
      <c r="N9" s="1481"/>
      <c r="O9" s="1481"/>
      <c r="P9" s="1481"/>
      <c r="Q9" s="1481"/>
      <c r="R9" s="1481"/>
      <c r="S9" s="1481"/>
      <c r="T9" s="5"/>
      <c r="U9" s="5"/>
    </row>
    <row r="10" spans="1:21" ht="14.45" customHeight="1" x14ac:dyDescent="0.25">
      <c r="B10" s="358"/>
      <c r="C10" s="87"/>
      <c r="D10" s="171" t="str">
        <f>IF(E9="SI APLICA","¿El indicador no se reporta por limitaciones de información disponible? ","")</f>
        <v xml:space="preserve">¿El indicador no se reporta por limitaciones de información disponible? </v>
      </c>
      <c r="E10" s="360" t="s">
        <v>886</v>
      </c>
      <c r="F10" s="1482"/>
      <c r="G10" s="1483"/>
      <c r="H10" s="1483"/>
      <c r="I10" s="1483"/>
      <c r="J10" s="1483"/>
      <c r="K10" s="1483"/>
      <c r="L10" s="1483"/>
      <c r="M10" s="1483"/>
      <c r="N10" s="1483"/>
      <c r="O10" s="1483"/>
      <c r="P10" s="1483"/>
      <c r="Q10" s="1483"/>
      <c r="R10" s="1483"/>
      <c r="S10" s="1483"/>
    </row>
    <row r="11" spans="1:21" ht="23.45" customHeight="1" x14ac:dyDescent="0.25">
      <c r="B11" s="356"/>
      <c r="C11" s="87"/>
      <c r="D11" s="171" t="str">
        <f>IF(E10="SI SE REPORTA","¿Qué programas o proyectos del Plan de Acción están asociados al indicador? ","")</f>
        <v xml:space="preserve">¿Qué programas o proyectos del Plan de Acción están asociados al indicador? </v>
      </c>
      <c r="E11" s="1484"/>
      <c r="F11" s="1484"/>
      <c r="G11" s="1484"/>
      <c r="H11" s="1484"/>
      <c r="I11" s="1484"/>
      <c r="J11" s="1484"/>
      <c r="K11" s="1484"/>
      <c r="L11" s="1484"/>
      <c r="M11" s="1484"/>
      <c r="N11" s="1484"/>
      <c r="O11" s="1484"/>
      <c r="P11" s="1484"/>
      <c r="Q11" s="1484"/>
      <c r="R11" s="1484"/>
    </row>
    <row r="12" spans="1:21" ht="21.95" customHeight="1" thickBot="1" x14ac:dyDescent="0.3">
      <c r="B12" s="356"/>
      <c r="C12" s="87"/>
      <c r="D12" s="171" t="s">
        <v>887</v>
      </c>
      <c r="E12" s="1451"/>
      <c r="F12" s="1452"/>
      <c r="G12" s="1452"/>
      <c r="H12" s="1452"/>
      <c r="I12" s="1452"/>
      <c r="J12" s="1452"/>
      <c r="K12" s="1452"/>
      <c r="L12" s="1452"/>
      <c r="M12" s="1452"/>
      <c r="N12" s="1452"/>
      <c r="O12" s="1452"/>
      <c r="P12" s="1452"/>
      <c r="Q12" s="1452"/>
      <c r="R12" s="1453"/>
    </row>
    <row r="13" spans="1:21" ht="15.75" customHeight="1" thickBot="1" x14ac:dyDescent="0.3">
      <c r="B13" s="1520" t="s">
        <v>888</v>
      </c>
      <c r="C13" s="101"/>
      <c r="D13" s="1435" t="s">
        <v>889</v>
      </c>
      <c r="E13" s="1436"/>
      <c r="F13" s="1436"/>
      <c r="G13" s="1436"/>
      <c r="H13" s="1436"/>
      <c r="I13" s="1409"/>
      <c r="J13" s="1410"/>
      <c r="K13" s="5"/>
    </row>
    <row r="14" spans="1:21" ht="15.75" thickBot="1" x14ac:dyDescent="0.3">
      <c r="B14" s="1537"/>
      <c r="C14" s="97" t="s">
        <v>842</v>
      </c>
      <c r="D14" s="43" t="s">
        <v>1015</v>
      </c>
      <c r="E14" s="1227" t="s">
        <v>909</v>
      </c>
      <c r="F14" s="1227" t="s">
        <v>910</v>
      </c>
      <c r="G14" s="1227" t="s">
        <v>911</v>
      </c>
      <c r="H14" s="126" t="s">
        <v>912</v>
      </c>
      <c r="I14" s="290"/>
      <c r="J14" s="240"/>
      <c r="K14" s="5"/>
    </row>
    <row r="15" spans="1:21" ht="84.75" thickBot="1" x14ac:dyDescent="0.3">
      <c r="B15" s="1537"/>
      <c r="C15" s="2" t="s">
        <v>1017</v>
      </c>
      <c r="D15" s="40" t="s">
        <v>1887</v>
      </c>
      <c r="E15" s="1228">
        <v>21</v>
      </c>
      <c r="F15" s="1228">
        <v>21</v>
      </c>
      <c r="G15" s="1228">
        <v>21</v>
      </c>
      <c r="H15" s="326"/>
      <c r="I15" s="328"/>
      <c r="J15" s="21"/>
      <c r="K15" s="5"/>
    </row>
    <row r="16" spans="1:21" ht="84.75" thickBot="1" x14ac:dyDescent="0.3">
      <c r="B16" s="1537"/>
      <c r="C16" s="2" t="s">
        <v>1019</v>
      </c>
      <c r="D16" s="40" t="s">
        <v>1888</v>
      </c>
      <c r="E16" s="1228">
        <v>21</v>
      </c>
      <c r="F16" s="1228">
        <v>21</v>
      </c>
      <c r="G16" s="1228">
        <v>21</v>
      </c>
      <c r="H16" s="326"/>
      <c r="I16" s="328"/>
      <c r="J16" s="21"/>
      <c r="K16" s="5"/>
    </row>
    <row r="17" spans="2:11" ht="72.599999999999994" customHeight="1" thickBot="1" x14ac:dyDescent="0.3">
      <c r="B17" s="1537"/>
      <c r="C17" s="2" t="s">
        <v>1021</v>
      </c>
      <c r="D17" s="40" t="s">
        <v>1889</v>
      </c>
      <c r="E17" s="147">
        <f>+E16/E15</f>
        <v>1</v>
      </c>
      <c r="F17" s="147">
        <f>+F16/F15</f>
        <v>1</v>
      </c>
      <c r="G17" s="147">
        <f>+G16/G15</f>
        <v>1</v>
      </c>
      <c r="H17" s="327" t="e">
        <f>+H16/H15</f>
        <v>#DIV/0!</v>
      </c>
      <c r="I17" s="329"/>
      <c r="J17" s="23"/>
      <c r="K17" s="5"/>
    </row>
    <row r="18" spans="2:11" x14ac:dyDescent="0.25">
      <c r="B18" s="1537"/>
      <c r="C18" s="102"/>
      <c r="D18" s="1408"/>
      <c r="E18" s="1409"/>
      <c r="F18" s="1409"/>
      <c r="G18" s="1409"/>
      <c r="H18" s="1409"/>
      <c r="I18" s="1415"/>
      <c r="J18" s="1416"/>
      <c r="K18" s="5"/>
    </row>
    <row r="19" spans="2:11" ht="24" customHeight="1" thickBot="1" x14ac:dyDescent="0.3">
      <c r="B19" s="1537"/>
      <c r="C19" s="102"/>
      <c r="D19" s="1414" t="s">
        <v>1890</v>
      </c>
      <c r="E19" s="1415"/>
      <c r="F19" s="1415"/>
      <c r="G19" s="1415"/>
      <c r="H19" s="1415"/>
      <c r="I19" s="1415"/>
      <c r="J19" s="1416"/>
      <c r="K19" s="5"/>
    </row>
    <row r="20" spans="2:11" ht="24.75" thickBot="1" x14ac:dyDescent="0.3">
      <c r="B20" s="1537"/>
      <c r="C20" s="97" t="s">
        <v>842</v>
      </c>
      <c r="D20" s="38" t="s">
        <v>439</v>
      </c>
      <c r="E20" s="43" t="s">
        <v>1891</v>
      </c>
      <c r="F20" s="43" t="s">
        <v>1892</v>
      </c>
      <c r="G20" s="43" t="s">
        <v>846</v>
      </c>
      <c r="H20" s="5"/>
      <c r="J20" s="21"/>
      <c r="K20" s="5"/>
    </row>
    <row r="21" spans="2:11" ht="48.75" thickBot="1" x14ac:dyDescent="0.3">
      <c r="B21" s="1537"/>
      <c r="C21" s="2">
        <v>1</v>
      </c>
      <c r="D21" s="30" t="s">
        <v>2134</v>
      </c>
      <c r="E21" s="1228">
        <v>21</v>
      </c>
      <c r="F21" s="29" t="s">
        <v>2149</v>
      </c>
      <c r="G21" s="29"/>
      <c r="H21" s="5"/>
      <c r="J21" s="21"/>
      <c r="K21" s="5"/>
    </row>
    <row r="22" spans="2:11" ht="15.75" thickBot="1" x14ac:dyDescent="0.3">
      <c r="B22" s="1537"/>
      <c r="C22" s="2">
        <v>2</v>
      </c>
      <c r="D22" s="30"/>
      <c r="E22" s="6"/>
      <c r="F22" s="29"/>
      <c r="G22" s="29"/>
      <c r="H22" s="5"/>
      <c r="J22" s="21"/>
      <c r="K22" s="5"/>
    </row>
    <row r="23" spans="2:11" ht="15.75" thickBot="1" x14ac:dyDescent="0.3">
      <c r="B23" s="1537"/>
      <c r="C23" s="2">
        <v>3</v>
      </c>
      <c r="D23" s="30"/>
      <c r="E23" s="6"/>
      <c r="F23" s="29"/>
      <c r="G23" s="29"/>
      <c r="H23" s="5"/>
      <c r="J23" s="21"/>
      <c r="K23" s="5"/>
    </row>
    <row r="24" spans="2:11" ht="24" customHeight="1" thickBot="1" x14ac:dyDescent="0.3">
      <c r="B24" s="59" t="s">
        <v>924</v>
      </c>
      <c r="C24" s="103"/>
      <c r="D24" s="1435" t="s">
        <v>1893</v>
      </c>
      <c r="E24" s="1436"/>
      <c r="F24" s="1436"/>
      <c r="G24" s="1436"/>
      <c r="H24" s="1436"/>
      <c r="I24" s="1436"/>
      <c r="J24" s="1437"/>
      <c r="K24" s="5"/>
    </row>
    <row r="25" spans="2:11" ht="18.75" thickBot="1" x14ac:dyDescent="0.3">
      <c r="B25" s="59" t="s">
        <v>926</v>
      </c>
      <c r="C25" s="103"/>
      <c r="D25" s="1435" t="s">
        <v>1126</v>
      </c>
      <c r="E25" s="1436"/>
      <c r="F25" s="1436"/>
      <c r="G25" s="1436"/>
      <c r="H25" s="1436"/>
      <c r="I25" s="1436"/>
      <c r="J25" s="1437"/>
      <c r="K25" s="5"/>
    </row>
    <row r="26" spans="2:11" ht="15.75" thickBot="1" x14ac:dyDescent="0.3">
      <c r="B26" s="1"/>
      <c r="C26" s="75"/>
      <c r="D26" s="5"/>
      <c r="E26" s="5"/>
      <c r="F26" s="5"/>
      <c r="G26" s="5"/>
      <c r="H26" s="5"/>
      <c r="I26" s="5"/>
      <c r="J26" s="5"/>
      <c r="K26" s="5"/>
    </row>
    <row r="27" spans="2:11" ht="24" customHeight="1" thickBot="1" x14ac:dyDescent="0.3">
      <c r="B27" s="1426" t="s">
        <v>928</v>
      </c>
      <c r="C27" s="1427"/>
      <c r="D27" s="1427"/>
      <c r="E27" s="1428"/>
      <c r="F27" s="5"/>
      <c r="G27" s="5"/>
      <c r="H27" s="5"/>
      <c r="I27" s="5"/>
      <c r="J27" s="5"/>
      <c r="K27" s="5"/>
    </row>
    <row r="28" spans="2:11" ht="15.75" thickBot="1" x14ac:dyDescent="0.3">
      <c r="B28" s="1423">
        <v>1</v>
      </c>
      <c r="C28" s="93"/>
      <c r="D28" s="47" t="s">
        <v>929</v>
      </c>
      <c r="E28" s="30" t="s">
        <v>2093</v>
      </c>
      <c r="F28" s="5"/>
      <c r="G28" s="5"/>
      <c r="H28" s="5"/>
      <c r="I28" s="5"/>
      <c r="J28" s="5"/>
      <c r="K28" s="5"/>
    </row>
    <row r="29" spans="2:11" ht="15.75" thickBot="1" x14ac:dyDescent="0.3">
      <c r="B29" s="1424"/>
      <c r="C29" s="93"/>
      <c r="D29" s="40" t="s">
        <v>7</v>
      </c>
      <c r="E29" s="30" t="s">
        <v>2094</v>
      </c>
      <c r="F29" s="5"/>
      <c r="G29" s="5"/>
      <c r="H29" s="5"/>
      <c r="I29" s="5"/>
      <c r="J29" s="5"/>
      <c r="K29" s="5"/>
    </row>
    <row r="30" spans="2:11" ht="15.75" thickBot="1" x14ac:dyDescent="0.3">
      <c r="B30" s="1424"/>
      <c r="C30" s="93"/>
      <c r="D30" s="40" t="s">
        <v>930</v>
      </c>
      <c r="E30" s="30" t="s">
        <v>2135</v>
      </c>
      <c r="F30" s="5"/>
      <c r="G30" s="5"/>
      <c r="H30" s="5"/>
      <c r="I30" s="5"/>
      <c r="J30" s="5"/>
      <c r="K30" s="5"/>
    </row>
    <row r="31" spans="2:11" ht="15.75" thickBot="1" x14ac:dyDescent="0.3">
      <c r="B31" s="1424"/>
      <c r="C31" s="93"/>
      <c r="D31" s="40" t="s">
        <v>9</v>
      </c>
      <c r="E31" s="30" t="s">
        <v>2122</v>
      </c>
      <c r="F31" s="5"/>
      <c r="G31" s="5"/>
      <c r="H31" s="5"/>
      <c r="I31" s="5"/>
      <c r="J31" s="5"/>
      <c r="K31" s="5"/>
    </row>
    <row r="32" spans="2:11" ht="15.75" thickBot="1" x14ac:dyDescent="0.3">
      <c r="B32" s="1424"/>
      <c r="C32" s="93"/>
      <c r="D32" s="40" t="s">
        <v>11</v>
      </c>
      <c r="E32" s="30" t="s">
        <v>2136</v>
      </c>
      <c r="F32" s="5"/>
      <c r="G32" s="5"/>
      <c r="H32" s="5"/>
      <c r="I32" s="5"/>
      <c r="J32" s="5"/>
      <c r="K32" s="5"/>
    </row>
    <row r="33" spans="2:11" ht="15.75" thickBot="1" x14ac:dyDescent="0.3">
      <c r="B33" s="1424"/>
      <c r="C33" s="93"/>
      <c r="D33" s="40" t="s">
        <v>13</v>
      </c>
      <c r="E33" s="30">
        <v>6695278</v>
      </c>
      <c r="F33" s="5"/>
      <c r="G33" s="5"/>
      <c r="H33" s="5"/>
      <c r="I33" s="5"/>
      <c r="J33" s="5"/>
      <c r="K33" s="5"/>
    </row>
    <row r="34" spans="2:11" ht="15.75" thickBot="1" x14ac:dyDescent="0.3">
      <c r="B34" s="1425"/>
      <c r="C34" s="2"/>
      <c r="D34" s="40" t="s">
        <v>931</v>
      </c>
      <c r="E34" s="30" t="s">
        <v>2097</v>
      </c>
      <c r="F34" s="5"/>
      <c r="G34" s="5"/>
      <c r="H34" s="5"/>
      <c r="I34" s="5"/>
      <c r="J34" s="5"/>
      <c r="K34" s="5"/>
    </row>
    <row r="35" spans="2:11" ht="15.75" thickBot="1" x14ac:dyDescent="0.3">
      <c r="B35" s="1"/>
      <c r="C35" s="75"/>
      <c r="D35" s="5"/>
      <c r="E35" s="5"/>
      <c r="F35" s="5"/>
      <c r="G35" s="5"/>
      <c r="H35" s="5"/>
      <c r="I35" s="5"/>
      <c r="J35" s="5"/>
      <c r="K35" s="5"/>
    </row>
    <row r="36" spans="2:11" ht="15.75" thickBot="1" x14ac:dyDescent="0.3">
      <c r="B36" s="1426" t="s">
        <v>932</v>
      </c>
      <c r="C36" s="1427"/>
      <c r="D36" s="1427"/>
      <c r="E36" s="1428"/>
      <c r="F36" s="5"/>
      <c r="G36" s="5"/>
      <c r="H36" s="5"/>
      <c r="I36" s="5"/>
      <c r="J36" s="5"/>
      <c r="K36" s="5"/>
    </row>
    <row r="37" spans="2:11" ht="15.75" thickBot="1" x14ac:dyDescent="0.3">
      <c r="B37" s="1423">
        <v>1</v>
      </c>
      <c r="C37" s="93"/>
      <c r="D37" s="47" t="s">
        <v>929</v>
      </c>
      <c r="E37" s="217" t="s">
        <v>933</v>
      </c>
      <c r="F37" s="5"/>
      <c r="G37" s="5"/>
      <c r="H37" s="5"/>
      <c r="I37" s="5"/>
      <c r="J37" s="5"/>
      <c r="K37" s="5"/>
    </row>
    <row r="38" spans="2:11" ht="15.75" thickBot="1" x14ac:dyDescent="0.3">
      <c r="B38" s="1424"/>
      <c r="C38" s="93"/>
      <c r="D38" s="40" t="s">
        <v>7</v>
      </c>
      <c r="E38" s="217" t="s">
        <v>934</v>
      </c>
      <c r="F38" s="5"/>
      <c r="G38" s="5"/>
      <c r="H38" s="5"/>
      <c r="I38" s="5"/>
      <c r="J38" s="5"/>
      <c r="K38" s="5"/>
    </row>
    <row r="39" spans="2:11" ht="15.75" thickBot="1" x14ac:dyDescent="0.3">
      <c r="B39" s="1424"/>
      <c r="C39" s="93"/>
      <c r="D39" s="40" t="s">
        <v>930</v>
      </c>
      <c r="E39" s="330"/>
      <c r="F39" s="5"/>
      <c r="G39" s="5"/>
      <c r="H39" s="5"/>
      <c r="I39" s="5"/>
      <c r="J39" s="5"/>
      <c r="K39" s="5"/>
    </row>
    <row r="40" spans="2:11" ht="15.75" thickBot="1" x14ac:dyDescent="0.3">
      <c r="B40" s="1424"/>
      <c r="C40" s="93"/>
      <c r="D40" s="40" t="s">
        <v>9</v>
      </c>
      <c r="E40" s="330"/>
      <c r="F40" s="5"/>
      <c r="G40" s="5"/>
      <c r="H40" s="5"/>
      <c r="I40" s="5"/>
      <c r="J40" s="5"/>
      <c r="K40" s="5"/>
    </row>
    <row r="41" spans="2:11" ht="15.75" thickBot="1" x14ac:dyDescent="0.3">
      <c r="B41" s="1424"/>
      <c r="C41" s="93"/>
      <c r="D41" s="40" t="s">
        <v>11</v>
      </c>
      <c r="E41" s="330"/>
      <c r="F41" s="5"/>
      <c r="G41" s="5"/>
      <c r="H41" s="5"/>
      <c r="I41" s="5"/>
      <c r="J41" s="5"/>
      <c r="K41" s="5"/>
    </row>
    <row r="42" spans="2:11" ht="15.75" thickBot="1" x14ac:dyDescent="0.3">
      <c r="B42" s="1424"/>
      <c r="C42" s="93"/>
      <c r="D42" s="40" t="s">
        <v>13</v>
      </c>
      <c r="E42" s="330"/>
      <c r="F42" s="5"/>
      <c r="G42" s="5"/>
      <c r="H42" s="5"/>
      <c r="I42" s="5"/>
      <c r="J42" s="5"/>
      <c r="K42" s="5"/>
    </row>
    <row r="43" spans="2:11" ht="15.75" thickBot="1" x14ac:dyDescent="0.3">
      <c r="B43" s="1425"/>
      <c r="C43" s="2"/>
      <c r="D43" s="40" t="s">
        <v>931</v>
      </c>
      <c r="E43" s="330"/>
      <c r="F43" s="5"/>
      <c r="G43" s="5"/>
      <c r="H43" s="5"/>
      <c r="I43" s="5"/>
      <c r="J43" s="5"/>
      <c r="K43" s="5"/>
    </row>
    <row r="44" spans="2:11" x14ac:dyDescent="0.25">
      <c r="B44" s="1"/>
      <c r="C44" s="75"/>
      <c r="D44" s="5"/>
      <c r="E44" s="5"/>
      <c r="F44" s="5"/>
      <c r="G44" s="5"/>
      <c r="H44" s="5"/>
      <c r="I44" s="5"/>
      <c r="J44" s="5"/>
      <c r="K44" s="5"/>
    </row>
    <row r="45" spans="2:11" ht="15.75" thickBot="1" x14ac:dyDescent="0.3">
      <c r="B45" s="1"/>
      <c r="C45" s="75"/>
      <c r="D45" s="5"/>
      <c r="E45" s="5"/>
      <c r="F45" s="5"/>
      <c r="G45" s="5"/>
      <c r="H45" s="5"/>
      <c r="I45" s="5"/>
      <c r="J45" s="5"/>
      <c r="K45" s="5"/>
    </row>
    <row r="46" spans="2:11" ht="15" customHeight="1" thickBot="1" x14ac:dyDescent="0.3">
      <c r="B46" s="118" t="s">
        <v>935</v>
      </c>
      <c r="C46" s="119"/>
      <c r="D46" s="119"/>
      <c r="E46" s="120"/>
      <c r="G46" s="5"/>
      <c r="H46" s="5"/>
      <c r="I46" s="5"/>
      <c r="J46" s="5"/>
      <c r="K46" s="5"/>
    </row>
    <row r="47" spans="2:11" ht="24.75" thickBot="1" x14ac:dyDescent="0.3">
      <c r="B47" s="46" t="s">
        <v>936</v>
      </c>
      <c r="C47" s="40" t="s">
        <v>937</v>
      </c>
      <c r="D47" s="40" t="s">
        <v>938</v>
      </c>
      <c r="E47" s="40" t="s">
        <v>939</v>
      </c>
      <c r="F47" s="5"/>
      <c r="G47" s="5"/>
      <c r="H47" s="5"/>
      <c r="I47" s="5"/>
      <c r="J47" s="5"/>
    </row>
    <row r="48" spans="2:11" ht="120.75" thickBot="1" x14ac:dyDescent="0.3">
      <c r="B48" s="48">
        <v>42401</v>
      </c>
      <c r="C48" s="40">
        <v>0.01</v>
      </c>
      <c r="D48" s="49" t="s">
        <v>1894</v>
      </c>
      <c r="E48" s="40"/>
      <c r="F48" s="5"/>
      <c r="G48" s="5"/>
      <c r="H48" s="5"/>
      <c r="I48" s="5"/>
      <c r="J48" s="5"/>
    </row>
    <row r="49" spans="2:11" ht="15.75" thickBot="1" x14ac:dyDescent="0.3">
      <c r="B49" s="3"/>
      <c r="C49" s="94"/>
      <c r="D49" s="5"/>
      <c r="E49" s="5"/>
      <c r="F49" s="5"/>
      <c r="G49" s="5"/>
      <c r="H49" s="5"/>
      <c r="I49" s="5"/>
      <c r="J49" s="5"/>
      <c r="K49" s="5"/>
    </row>
    <row r="50" spans="2:11" x14ac:dyDescent="0.25">
      <c r="B50" s="128" t="s">
        <v>846</v>
      </c>
      <c r="C50" s="95"/>
      <c r="D50" s="5"/>
      <c r="E50" s="5"/>
      <c r="F50" s="5"/>
      <c r="G50" s="5"/>
      <c r="H50" s="5"/>
      <c r="I50" s="5"/>
      <c r="J50" s="5"/>
      <c r="K50" s="5"/>
    </row>
    <row r="51" spans="2:11" x14ac:dyDescent="0.25">
      <c r="B51" s="1608"/>
      <c r="C51" s="1609"/>
      <c r="D51" s="1609"/>
      <c r="E51" s="1610"/>
      <c r="F51" s="5"/>
      <c r="G51" s="5"/>
      <c r="H51" s="5"/>
      <c r="I51" s="5"/>
      <c r="J51" s="5"/>
      <c r="K51" s="5"/>
    </row>
    <row r="52" spans="2:11" x14ac:dyDescent="0.25">
      <c r="B52" s="1611"/>
      <c r="C52" s="1612"/>
      <c r="D52" s="1612"/>
      <c r="E52" s="1613"/>
      <c r="F52" s="5"/>
      <c r="G52" s="5"/>
      <c r="H52" s="5"/>
      <c r="I52" s="5"/>
      <c r="J52" s="5"/>
      <c r="K52" s="5"/>
    </row>
    <row r="53" spans="2:11" x14ac:dyDescent="0.25">
      <c r="B53" s="1"/>
      <c r="C53" s="75"/>
      <c r="D53" s="5"/>
      <c r="E53" s="5"/>
      <c r="F53" s="5"/>
      <c r="G53" s="5"/>
      <c r="H53" s="5"/>
      <c r="I53" s="5"/>
      <c r="J53" s="5"/>
      <c r="K53" s="5"/>
    </row>
    <row r="54" spans="2:11" ht="15.75" thickBot="1" x14ac:dyDescent="0.3">
      <c r="B54" s="5"/>
      <c r="D54" s="5"/>
      <c r="E54" s="5"/>
      <c r="F54" s="5"/>
      <c r="G54" s="5"/>
      <c r="H54" s="5"/>
      <c r="I54" s="5"/>
      <c r="J54" s="5"/>
      <c r="K54" s="5"/>
    </row>
    <row r="55" spans="2:11" ht="15.75" thickBot="1" x14ac:dyDescent="0.3">
      <c r="B55" s="1426" t="s">
        <v>941</v>
      </c>
      <c r="C55" s="1427"/>
      <c r="D55" s="1428"/>
      <c r="E55" s="5"/>
      <c r="F55" s="5"/>
      <c r="G55" s="5"/>
      <c r="H55" s="5"/>
      <c r="I55" s="5"/>
      <c r="J55" s="5"/>
      <c r="K55" s="5"/>
    </row>
    <row r="56" spans="2:11" ht="120" x14ac:dyDescent="0.25">
      <c r="B56" s="1423" t="s">
        <v>942</v>
      </c>
      <c r="C56" s="93"/>
      <c r="D56" s="45" t="s">
        <v>1895</v>
      </c>
      <c r="E56" s="5"/>
      <c r="F56" s="5"/>
      <c r="G56" s="5"/>
      <c r="H56" s="5"/>
      <c r="I56" s="5"/>
      <c r="J56" s="5"/>
      <c r="K56" s="5"/>
    </row>
    <row r="57" spans="2:11" x14ac:dyDescent="0.25">
      <c r="B57" s="1424"/>
      <c r="C57" s="93"/>
      <c r="D57" s="52" t="s">
        <v>945</v>
      </c>
      <c r="E57" s="5"/>
      <c r="F57" s="5"/>
      <c r="G57" s="5"/>
      <c r="H57" s="5"/>
      <c r="I57" s="5"/>
      <c r="J57" s="5"/>
      <c r="K57" s="5"/>
    </row>
    <row r="58" spans="2:11" ht="144" x14ac:dyDescent="0.25">
      <c r="B58" s="1424"/>
      <c r="C58" s="93"/>
      <c r="D58" s="45" t="s">
        <v>1896</v>
      </c>
      <c r="E58" s="5"/>
      <c r="F58" s="5"/>
      <c r="G58" s="5"/>
      <c r="H58" s="5"/>
      <c r="I58" s="5"/>
      <c r="J58" s="5"/>
      <c r="K58" s="5"/>
    </row>
    <row r="59" spans="2:11" x14ac:dyDescent="0.25">
      <c r="B59" s="1424"/>
      <c r="C59" s="93"/>
      <c r="D59" s="52" t="s">
        <v>948</v>
      </c>
      <c r="E59" s="5"/>
      <c r="F59" s="5"/>
      <c r="G59" s="5"/>
      <c r="H59" s="5"/>
      <c r="I59" s="5"/>
      <c r="J59" s="5"/>
      <c r="K59" s="5"/>
    </row>
    <row r="60" spans="2:11" ht="372.75" thickBot="1" x14ac:dyDescent="0.3">
      <c r="B60" s="1425"/>
      <c r="C60" s="2"/>
      <c r="D60" s="40" t="s">
        <v>1897</v>
      </c>
      <c r="E60" s="5"/>
      <c r="F60" s="5"/>
      <c r="G60" s="5"/>
      <c r="H60" s="5"/>
      <c r="I60" s="5"/>
      <c r="J60" s="5"/>
      <c r="K60" s="5"/>
    </row>
    <row r="61" spans="2:11" ht="348" x14ac:dyDescent="0.25">
      <c r="B61" s="1423" t="s">
        <v>944</v>
      </c>
      <c r="C61" s="93"/>
      <c r="D61" s="25" t="s">
        <v>1898</v>
      </c>
      <c r="E61" s="5"/>
      <c r="F61" s="5"/>
      <c r="G61" s="5"/>
      <c r="H61" s="5"/>
      <c r="I61" s="5"/>
      <c r="J61" s="5"/>
      <c r="K61" s="5"/>
    </row>
    <row r="62" spans="2:11" ht="264" x14ac:dyDescent="0.25">
      <c r="B62" s="1424"/>
      <c r="C62" s="93"/>
      <c r="D62" s="25" t="s">
        <v>1899</v>
      </c>
      <c r="E62" s="5"/>
      <c r="F62" s="5"/>
      <c r="G62" s="5"/>
      <c r="H62" s="5"/>
      <c r="I62" s="5"/>
      <c r="J62" s="5"/>
      <c r="K62" s="5"/>
    </row>
    <row r="63" spans="2:11" ht="36" x14ac:dyDescent="0.25">
      <c r="B63" s="1424"/>
      <c r="C63" s="93"/>
      <c r="D63" s="25" t="s">
        <v>1900</v>
      </c>
      <c r="E63" s="5"/>
      <c r="F63" s="5"/>
      <c r="G63" s="5"/>
      <c r="H63" s="5"/>
      <c r="I63" s="5"/>
      <c r="J63" s="5"/>
      <c r="K63" s="5"/>
    </row>
    <row r="64" spans="2:11" ht="24" x14ac:dyDescent="0.25">
      <c r="B64" s="1424"/>
      <c r="C64" s="93"/>
      <c r="D64" s="25" t="s">
        <v>1901</v>
      </c>
      <c r="E64" s="5"/>
      <c r="F64" s="5"/>
      <c r="G64" s="5"/>
      <c r="H64" s="5"/>
      <c r="I64" s="5"/>
      <c r="J64" s="5"/>
      <c r="K64" s="5"/>
    </row>
    <row r="65" spans="2:11" x14ac:dyDescent="0.25">
      <c r="B65" s="1424"/>
      <c r="C65" s="93"/>
      <c r="D65" s="52" t="s">
        <v>1172</v>
      </c>
      <c r="E65" s="5"/>
      <c r="F65" s="5"/>
      <c r="G65" s="5"/>
      <c r="H65" s="5"/>
      <c r="I65" s="5"/>
      <c r="J65" s="5"/>
      <c r="K65" s="5"/>
    </row>
    <row r="66" spans="2:11" ht="15.75" thickBot="1" x14ac:dyDescent="0.3">
      <c r="B66" s="1425"/>
      <c r="C66" s="2"/>
      <c r="D66" s="40" t="s">
        <v>1173</v>
      </c>
      <c r="E66" s="5"/>
      <c r="F66" s="5"/>
      <c r="G66" s="5"/>
      <c r="H66" s="5"/>
      <c r="I66" s="5"/>
      <c r="J66" s="5"/>
      <c r="K66" s="5"/>
    </row>
    <row r="67" spans="2:11" ht="24.75" thickBot="1" x14ac:dyDescent="0.3">
      <c r="B67" s="46" t="s">
        <v>957</v>
      </c>
      <c r="C67" s="2"/>
      <c r="D67" s="40"/>
      <c r="E67" s="5"/>
      <c r="F67" s="5"/>
      <c r="G67" s="5"/>
      <c r="H67" s="5"/>
      <c r="I67" s="5"/>
      <c r="J67" s="5"/>
      <c r="K67" s="5"/>
    </row>
    <row r="68" spans="2:11" ht="396" x14ac:dyDescent="0.25">
      <c r="B68" s="1423" t="s">
        <v>958</v>
      </c>
      <c r="C68" s="93"/>
      <c r="D68" s="45" t="s">
        <v>1902</v>
      </c>
      <c r="E68" s="5"/>
      <c r="F68" s="5"/>
      <c r="G68" s="5"/>
      <c r="H68" s="5"/>
      <c r="I68" s="5"/>
      <c r="J68" s="5"/>
      <c r="K68" s="5"/>
    </row>
    <row r="69" spans="2:11" ht="216" x14ac:dyDescent="0.25">
      <c r="B69" s="1424"/>
      <c r="C69" s="93"/>
      <c r="D69" s="45" t="s">
        <v>1903</v>
      </c>
      <c r="E69" s="5"/>
      <c r="F69" s="5"/>
      <c r="G69" s="5"/>
      <c r="H69" s="5"/>
      <c r="I69" s="5"/>
      <c r="J69" s="5"/>
      <c r="K69" s="5"/>
    </row>
    <row r="70" spans="2:11" ht="120" x14ac:dyDescent="0.25">
      <c r="B70" s="1424"/>
      <c r="C70" s="93"/>
      <c r="D70" s="45" t="s">
        <v>1904</v>
      </c>
      <c r="E70" s="5"/>
      <c r="F70" s="5"/>
      <c r="G70" s="5"/>
      <c r="H70" s="5"/>
      <c r="I70" s="5"/>
      <c r="J70" s="5"/>
      <c r="K70" s="5"/>
    </row>
    <row r="71" spans="2:11" ht="108" x14ac:dyDescent="0.25">
      <c r="B71" s="1424"/>
      <c r="C71" s="93"/>
      <c r="D71" s="45" t="s">
        <v>1905</v>
      </c>
      <c r="E71" s="5"/>
      <c r="F71" s="5"/>
      <c r="G71" s="5"/>
      <c r="H71" s="5"/>
      <c r="I71" s="5"/>
      <c r="J71" s="5"/>
      <c r="K71" s="5"/>
    </row>
    <row r="72" spans="2:11" ht="252" x14ac:dyDescent="0.25">
      <c r="B72" s="1424"/>
      <c r="C72" s="93"/>
      <c r="D72" s="45" t="s">
        <v>1906</v>
      </c>
      <c r="E72" s="5"/>
      <c r="F72" s="5"/>
      <c r="G72" s="5"/>
      <c r="H72" s="5"/>
      <c r="I72" s="5"/>
      <c r="J72" s="5"/>
      <c r="K72" s="5"/>
    </row>
    <row r="73" spans="2:11" ht="48" x14ac:dyDescent="0.25">
      <c r="B73" s="1424"/>
      <c r="C73" s="93"/>
      <c r="D73" s="45" t="s">
        <v>1907</v>
      </c>
      <c r="E73" s="5"/>
      <c r="F73" s="5"/>
      <c r="G73" s="5"/>
      <c r="H73" s="5"/>
      <c r="I73" s="5"/>
      <c r="J73" s="5"/>
      <c r="K73" s="5"/>
    </row>
    <row r="74" spans="2:11" ht="96" x14ac:dyDescent="0.25">
      <c r="B74" s="1424"/>
      <c r="C74" s="93"/>
      <c r="D74" s="60" t="s">
        <v>1908</v>
      </c>
      <c r="E74" s="5"/>
      <c r="F74" s="5"/>
      <c r="G74" s="5"/>
      <c r="H74" s="5"/>
      <c r="I74" s="5"/>
      <c r="J74" s="5"/>
      <c r="K74" s="5"/>
    </row>
    <row r="75" spans="2:11" ht="60" x14ac:dyDescent="0.25">
      <c r="B75" s="1424"/>
      <c r="C75" s="93"/>
      <c r="D75" s="60" t="s">
        <v>1909</v>
      </c>
      <c r="E75" s="5"/>
      <c r="F75" s="5"/>
      <c r="G75" s="5"/>
      <c r="H75" s="5"/>
      <c r="I75" s="5"/>
      <c r="J75" s="5"/>
      <c r="K75" s="5"/>
    </row>
    <row r="76" spans="2:11" ht="52.5" thickBot="1" x14ac:dyDescent="0.3">
      <c r="B76" s="1425"/>
      <c r="C76" s="2"/>
      <c r="D76" s="61" t="s">
        <v>1910</v>
      </c>
      <c r="E76" s="5"/>
      <c r="F76" s="5"/>
      <c r="G76" s="5"/>
      <c r="H76" s="5"/>
      <c r="I76" s="5"/>
      <c r="J76" s="5"/>
      <c r="K76" s="5"/>
    </row>
    <row r="77" spans="2:11" ht="15.75" thickBot="1" x14ac:dyDescent="0.3">
      <c r="B77" s="1"/>
      <c r="C77" s="75"/>
      <c r="D77" s="5"/>
      <c r="E77" s="5"/>
      <c r="F77" s="5"/>
      <c r="G77" s="5"/>
      <c r="H77" s="5"/>
      <c r="I77" s="5"/>
      <c r="J77" s="5"/>
      <c r="K77" s="5"/>
    </row>
    <row r="78" spans="2:11" ht="48" x14ac:dyDescent="0.25">
      <c r="B78" s="1423" t="s">
        <v>975</v>
      </c>
      <c r="C78" s="104"/>
      <c r="D78" s="63" t="s">
        <v>1911</v>
      </c>
      <c r="E78" s="5"/>
      <c r="F78" s="5"/>
      <c r="G78" s="5"/>
      <c r="H78" s="5"/>
      <c r="I78" s="5"/>
      <c r="J78" s="5"/>
      <c r="K78" s="5"/>
    </row>
    <row r="79" spans="2:11" x14ac:dyDescent="0.25">
      <c r="B79" s="1424"/>
      <c r="C79" s="93"/>
      <c r="D79" s="16"/>
      <c r="E79" s="5"/>
      <c r="F79" s="5"/>
      <c r="G79" s="5"/>
      <c r="H79" s="5"/>
      <c r="I79" s="5"/>
      <c r="J79" s="5"/>
      <c r="K79" s="5"/>
    </row>
    <row r="80" spans="2:11" x14ac:dyDescent="0.25">
      <c r="B80" s="1424"/>
      <c r="C80" s="93"/>
      <c r="D80" s="45" t="s">
        <v>976</v>
      </c>
      <c r="E80" s="5"/>
      <c r="F80" s="5"/>
      <c r="G80" s="5"/>
      <c r="H80" s="5"/>
      <c r="I80" s="5"/>
      <c r="J80" s="5"/>
      <c r="K80" s="5"/>
    </row>
    <row r="81" spans="2:11" ht="109.5" x14ac:dyDescent="0.25">
      <c r="B81" s="1424"/>
      <c r="C81" s="93"/>
      <c r="D81" s="45" t="s">
        <v>1912</v>
      </c>
      <c r="E81" s="5"/>
      <c r="F81" s="5"/>
      <c r="G81" s="5"/>
      <c r="H81" s="5"/>
      <c r="I81" s="5"/>
      <c r="J81" s="5"/>
      <c r="K81" s="5"/>
    </row>
    <row r="82" spans="2:11" ht="97.5" x14ac:dyDescent="0.25">
      <c r="B82" s="1424"/>
      <c r="C82" s="93"/>
      <c r="D82" s="45" t="s">
        <v>1913</v>
      </c>
      <c r="E82" s="5"/>
      <c r="F82" s="5"/>
      <c r="G82" s="5"/>
      <c r="H82" s="5"/>
      <c r="I82" s="5"/>
      <c r="J82" s="5"/>
      <c r="K82" s="5"/>
    </row>
    <row r="83" spans="2:11" ht="98.25" thickBot="1" x14ac:dyDescent="0.3">
      <c r="B83" s="1425"/>
      <c r="C83" s="2"/>
      <c r="D83" s="40" t="s">
        <v>1914</v>
      </c>
      <c r="E83" s="5"/>
      <c r="F83" s="5"/>
      <c r="G83" s="5"/>
      <c r="H83" s="5"/>
      <c r="I83" s="5"/>
      <c r="J83" s="5"/>
      <c r="K83" s="5"/>
    </row>
    <row r="84" spans="2:11" x14ac:dyDescent="0.25">
      <c r="B84" s="5"/>
      <c r="D84" s="5"/>
      <c r="E84" s="5"/>
      <c r="F84" s="5"/>
      <c r="G84" s="5"/>
      <c r="H84" s="5"/>
      <c r="I84" s="5"/>
      <c r="J84" s="5"/>
      <c r="K84" s="5"/>
    </row>
  </sheetData>
  <sheetProtection insertRows="0"/>
  <mergeCells count="26">
    <mergeCell ref="B56:B60"/>
    <mergeCell ref="B61:B66"/>
    <mergeCell ref="B68:B76"/>
    <mergeCell ref="B78:B83"/>
    <mergeCell ref="B13:B23"/>
    <mergeCell ref="D13:J13"/>
    <mergeCell ref="D18:J18"/>
    <mergeCell ref="D19:J19"/>
    <mergeCell ref="B55:D55"/>
    <mergeCell ref="D24:J24"/>
    <mergeCell ref="D25:J25"/>
    <mergeCell ref="B27:E27"/>
    <mergeCell ref="B28:B34"/>
    <mergeCell ref="B36:E36"/>
    <mergeCell ref="B37:B43"/>
    <mergeCell ref="B51:E52"/>
    <mergeCell ref="B9:D9"/>
    <mergeCell ref="F9:S9"/>
    <mergeCell ref="F10:S10"/>
    <mergeCell ref="E11:R11"/>
    <mergeCell ref="E12:R12"/>
    <mergeCell ref="A1:P1"/>
    <mergeCell ref="A2:P2"/>
    <mergeCell ref="A3:P3"/>
    <mergeCell ref="A4:D4"/>
    <mergeCell ref="A5:P5"/>
  </mergeCells>
  <conditionalFormatting sqref="F9">
    <cfRule type="notContainsBlanks" dxfId="29" priority="4">
      <formula>LEN(TRIM(F9))&gt;0</formula>
    </cfRule>
  </conditionalFormatting>
  <conditionalFormatting sqref="F10:S10">
    <cfRule type="expression" dxfId="28" priority="2">
      <formula>E10="NO SE REPORTA"</formula>
    </cfRule>
    <cfRule type="expression" dxfId="27" priority="3">
      <formula>E9="NO APLICA"</formula>
    </cfRule>
  </conditionalFormatting>
  <conditionalFormatting sqref="E11:R11">
    <cfRule type="expression" dxfId="26" priority="1">
      <formula>E10="SI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23">
      <formula1>0</formula1>
    </dataValidation>
    <dataValidation type="list" allowBlank="1" showInputMessage="1" showErrorMessage="1" sqref="E10">
      <formula1>REPORTE</formula1>
    </dataValidation>
    <dataValidation type="list" allowBlank="1" showInputMessage="1" showErrorMessage="1" sqref="E9">
      <formula1>SI</formula1>
    </dataValidation>
  </dataValidations>
  <hyperlinks>
    <hyperlink ref="B8" location="'ANEXO 3'!A1" display="VOLVER AL INDICE"/>
  </hyperlinks>
  <pageMargins left="0.25" right="0.25" top="0.75" bottom="0.75" header="0.3" footer="0.3"/>
  <pageSetup paperSize="178" orientation="landscape"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U139"/>
  <sheetViews>
    <sheetView showGridLines="0" topLeftCell="C1" zoomScale="98" zoomScaleNormal="98" workbookViewId="0">
      <selection activeCell="C9" sqref="C9"/>
    </sheetView>
  </sheetViews>
  <sheetFormatPr baseColWidth="10" defaultColWidth="10.7109375" defaultRowHeight="15" x14ac:dyDescent="0.25"/>
  <cols>
    <col min="1" max="1" width="1.85546875" customWidth="1"/>
    <col min="2" max="2" width="10.42578125" customWidth="1"/>
    <col min="3" max="3" width="5" style="86" bestFit="1" customWidth="1"/>
    <col min="4" max="4" width="34.85546875" customWidth="1"/>
    <col min="5" max="5" width="12.140625" customWidth="1"/>
    <col min="6" max="6" width="11.42578125"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114</v>
      </c>
      <c r="B5" s="1395"/>
      <c r="C5" s="1395"/>
      <c r="D5" s="1395"/>
      <c r="E5" s="1395"/>
      <c r="F5" s="1395"/>
      <c r="G5" s="1395"/>
      <c r="H5" s="1395"/>
      <c r="I5" s="1395"/>
      <c r="J5" s="1395"/>
      <c r="K5" s="1395"/>
      <c r="L5" s="1395"/>
      <c r="M5" s="1395"/>
      <c r="N5" s="1395"/>
      <c r="O5" s="1395"/>
      <c r="P5" s="1396"/>
    </row>
    <row r="6" spans="1:21" x14ac:dyDescent="0.25">
      <c r="B6" s="1" t="s">
        <v>878</v>
      </c>
      <c r="C6" s="75"/>
      <c r="D6" s="5"/>
      <c r="E6" s="209"/>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2022</v>
      </c>
      <c r="D8" s="214">
        <f>IF(E10="NO APLICA","NO APLICA",IF(E11="NO SE REPORTA","SIN INFORMACION",+F81))</f>
        <v>1</v>
      </c>
      <c r="E8" s="211"/>
      <c r="F8" s="5" t="s">
        <v>882</v>
      </c>
      <c r="G8" s="5"/>
      <c r="H8" s="5"/>
      <c r="I8" s="5"/>
      <c r="J8" s="5"/>
      <c r="K8" s="5"/>
    </row>
    <row r="9" spans="1:21" x14ac:dyDescent="0.25">
      <c r="B9" s="356" t="s">
        <v>883</v>
      </c>
      <c r="C9" s="87"/>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C14" s="87"/>
      <c r="D14" s="5"/>
      <c r="E14" s="5"/>
      <c r="F14" s="5"/>
      <c r="G14" s="5"/>
      <c r="H14" s="5"/>
      <c r="I14" s="5"/>
      <c r="J14" s="5"/>
      <c r="K14" s="5"/>
    </row>
    <row r="15" spans="1:21" ht="15" customHeight="1" thickTop="1" x14ac:dyDescent="0.25">
      <c r="B15" s="1478" t="s">
        <v>888</v>
      </c>
      <c r="C15" s="88"/>
      <c r="D15" s="1408" t="s">
        <v>889</v>
      </c>
      <c r="E15" s="1409"/>
      <c r="F15" s="1409"/>
      <c r="G15" s="1409"/>
      <c r="H15" s="1409"/>
      <c r="I15" s="1409"/>
      <c r="J15" s="1409"/>
      <c r="K15" s="1409"/>
      <c r="L15" s="1539"/>
      <c r="M15" s="1516"/>
    </row>
    <row r="16" spans="1:21" x14ac:dyDescent="0.25">
      <c r="B16" s="1403"/>
      <c r="C16" s="91"/>
      <c r="D16" s="1562" t="s">
        <v>1915</v>
      </c>
      <c r="E16" s="1563"/>
      <c r="F16" s="1563"/>
      <c r="G16" s="1563"/>
      <c r="H16" s="1563"/>
      <c r="I16" s="1563"/>
      <c r="J16" s="1563"/>
      <c r="K16" s="1563"/>
      <c r="L16" s="1614"/>
      <c r="M16" s="1591"/>
    </row>
    <row r="17" spans="2:14" ht="15.75" thickBot="1" x14ac:dyDescent="0.3">
      <c r="B17" s="1403"/>
      <c r="C17" s="91"/>
      <c r="D17" s="1414" t="s">
        <v>1916</v>
      </c>
      <c r="E17" s="1415"/>
      <c r="F17" s="1415"/>
      <c r="G17" s="1415"/>
      <c r="H17" s="1415"/>
      <c r="I17" s="1415"/>
      <c r="J17" s="1415"/>
      <c r="K17" s="1415"/>
      <c r="L17" s="1540"/>
      <c r="M17" s="1517"/>
    </row>
    <row r="18" spans="2:14" ht="15.75" thickBot="1" x14ac:dyDescent="0.3">
      <c r="B18" s="1403"/>
      <c r="C18" s="93"/>
      <c r="D18" s="1616" t="s">
        <v>1917</v>
      </c>
      <c r="E18" s="1534" t="s">
        <v>1918</v>
      </c>
      <c r="F18" s="1536"/>
      <c r="G18" s="1534" t="s">
        <v>1919</v>
      </c>
      <c r="H18" s="1536"/>
      <c r="I18" s="1534" t="s">
        <v>1016</v>
      </c>
      <c r="J18" s="1536"/>
      <c r="K18" s="58"/>
      <c r="M18" s="13"/>
    </row>
    <row r="19" spans="2:14" ht="15.75" thickBot="1" x14ac:dyDescent="0.3">
      <c r="B19" s="1403"/>
      <c r="C19" s="93"/>
      <c r="D19" s="1617"/>
      <c r="E19" s="39" t="s">
        <v>1920</v>
      </c>
      <c r="F19" s="39" t="s">
        <v>1921</v>
      </c>
      <c r="G19" s="39" t="s">
        <v>1920</v>
      </c>
      <c r="H19" s="39" t="s">
        <v>1921</v>
      </c>
      <c r="I19" s="39" t="s">
        <v>1920</v>
      </c>
      <c r="J19" s="39" t="s">
        <v>1921</v>
      </c>
      <c r="M19" s="13"/>
    </row>
    <row r="20" spans="2:14" ht="15.75" thickBot="1" x14ac:dyDescent="0.3">
      <c r="B20" s="216"/>
      <c r="C20" s="93"/>
      <c r="D20" s="39" t="s">
        <v>1922</v>
      </c>
      <c r="E20" s="6">
        <v>6</v>
      </c>
      <c r="F20" s="6">
        <v>6</v>
      </c>
      <c r="G20" s="6">
        <v>0</v>
      </c>
      <c r="H20" s="6">
        <v>0</v>
      </c>
      <c r="I20" s="207">
        <v>6</v>
      </c>
      <c r="J20" s="207">
        <v>6</v>
      </c>
      <c r="M20" s="13"/>
    </row>
    <row r="21" spans="2:14" x14ac:dyDescent="0.25">
      <c r="B21" s="216"/>
      <c r="C21" s="100"/>
      <c r="D21" s="1414"/>
      <c r="E21" s="1415"/>
      <c r="F21" s="1415"/>
      <c r="G21" s="1415"/>
      <c r="H21" s="1415"/>
      <c r="I21" s="1415"/>
      <c r="J21" s="1415"/>
      <c r="K21" s="1415"/>
      <c r="L21" s="1540"/>
      <c r="M21" s="1517"/>
    </row>
    <row r="22" spans="2:14" ht="15.75" thickBot="1" x14ac:dyDescent="0.3">
      <c r="B22" s="216"/>
      <c r="C22" s="91"/>
      <c r="D22" s="129"/>
      <c r="E22" s="129"/>
      <c r="F22" s="344" t="s">
        <v>846</v>
      </c>
      <c r="G22" s="129"/>
      <c r="H22" s="129"/>
      <c r="I22" s="129"/>
      <c r="J22" s="129"/>
      <c r="K22" s="129"/>
      <c r="L22" s="341"/>
      <c r="M22" s="342"/>
    </row>
    <row r="23" spans="2:14" ht="24.75" thickBot="1" x14ac:dyDescent="0.3">
      <c r="B23" s="216"/>
      <c r="C23" s="93"/>
      <c r="D23" s="43" t="s">
        <v>1923</v>
      </c>
      <c r="E23" s="340">
        <f>+I20</f>
        <v>6</v>
      </c>
      <c r="F23" s="343"/>
      <c r="G23" s="5"/>
      <c r="H23" s="5"/>
      <c r="I23" s="5"/>
      <c r="J23" s="5"/>
      <c r="K23" s="5"/>
      <c r="M23" s="13"/>
    </row>
    <row r="24" spans="2:14" ht="24.75" thickBot="1" x14ac:dyDescent="0.3">
      <c r="B24" s="216"/>
      <c r="C24" s="93"/>
      <c r="D24" s="40" t="s">
        <v>1924</v>
      </c>
      <c r="E24" s="340">
        <f>+J20</f>
        <v>6</v>
      </c>
      <c r="F24" s="187"/>
      <c r="G24" s="5"/>
      <c r="H24" s="5"/>
      <c r="I24" s="5"/>
      <c r="J24" s="5"/>
      <c r="K24" s="5"/>
      <c r="M24" s="13"/>
    </row>
    <row r="25" spans="2:14" ht="24.75" thickBot="1" x14ac:dyDescent="0.3">
      <c r="B25" s="216"/>
      <c r="C25" s="93"/>
      <c r="D25" s="40" t="s">
        <v>1925</v>
      </c>
      <c r="E25" s="327">
        <f>+E24/E23</f>
        <v>1</v>
      </c>
      <c r="F25" s="187"/>
      <c r="G25" s="5"/>
      <c r="H25" s="5"/>
      <c r="I25" s="5"/>
      <c r="J25" s="5"/>
      <c r="K25" s="5"/>
      <c r="M25" s="13"/>
    </row>
    <row r="26" spans="2:14" x14ac:dyDescent="0.25">
      <c r="B26" s="216"/>
      <c r="C26" s="91"/>
      <c r="D26" s="1562" t="s">
        <v>1926</v>
      </c>
      <c r="E26" s="1563"/>
      <c r="F26" s="1563"/>
      <c r="G26" s="1563"/>
      <c r="H26" s="1563"/>
      <c r="I26" s="1563"/>
      <c r="J26" s="1563"/>
      <c r="K26" s="1563"/>
      <c r="L26" s="1614"/>
      <c r="M26" s="1591"/>
    </row>
    <row r="27" spans="2:14" ht="15.75" thickBot="1" x14ac:dyDescent="0.3">
      <c r="B27" s="216"/>
      <c r="C27" s="91"/>
      <c r="D27" s="1411" t="s">
        <v>1927</v>
      </c>
      <c r="E27" s="1412"/>
      <c r="F27" s="1412"/>
      <c r="G27" s="1412"/>
      <c r="H27" s="1412"/>
      <c r="I27" s="1412"/>
      <c r="J27" s="1412"/>
      <c r="K27" s="1412"/>
      <c r="L27" s="1541"/>
      <c r="M27" s="1518"/>
    </row>
    <row r="28" spans="2:14" ht="24.75" thickBot="1" x14ac:dyDescent="0.3">
      <c r="B28" s="216"/>
      <c r="C28" s="93"/>
      <c r="D28" s="43" t="s">
        <v>1928</v>
      </c>
      <c r="E28" s="323">
        <v>10</v>
      </c>
      <c r="F28" s="5"/>
      <c r="G28" s="5"/>
      <c r="H28" s="5"/>
      <c r="I28" s="5"/>
      <c r="J28" s="5"/>
      <c r="K28" s="5"/>
      <c r="M28" s="13"/>
    </row>
    <row r="29" spans="2:14" ht="24.75" thickBot="1" x14ac:dyDescent="0.3">
      <c r="B29" s="216"/>
      <c r="C29" s="93"/>
      <c r="D29" s="40" t="s">
        <v>1929</v>
      </c>
      <c r="E29" s="323">
        <v>10</v>
      </c>
      <c r="F29" s="5"/>
      <c r="G29" s="5"/>
      <c r="H29" s="5"/>
      <c r="I29" s="5"/>
      <c r="J29" s="5"/>
      <c r="K29" s="5"/>
      <c r="M29" s="13"/>
    </row>
    <row r="30" spans="2:14" ht="24.75" thickBot="1" x14ac:dyDescent="0.3">
      <c r="B30" s="216"/>
      <c r="C30" s="93"/>
      <c r="D30" s="40" t="s">
        <v>1930</v>
      </c>
      <c r="E30" s="323">
        <v>10</v>
      </c>
      <c r="F30" s="5"/>
      <c r="G30" s="5"/>
      <c r="H30" s="5"/>
      <c r="I30" s="5"/>
      <c r="J30" s="5"/>
      <c r="K30" s="5"/>
      <c r="M30" s="13"/>
    </row>
    <row r="31" spans="2:14" ht="15.75" thickBot="1" x14ac:dyDescent="0.3">
      <c r="B31" s="216"/>
      <c r="C31" s="91"/>
      <c r="D31" s="1438" t="s">
        <v>1931</v>
      </c>
      <c r="E31" s="1439"/>
      <c r="F31" s="1439"/>
      <c r="G31" s="1439"/>
      <c r="H31" s="1439"/>
      <c r="I31" s="1439"/>
      <c r="J31" s="1439"/>
      <c r="K31" s="1439"/>
      <c r="L31" s="1615"/>
      <c r="M31" s="1519"/>
    </row>
    <row r="32" spans="2:14" ht="15.75" thickBot="1" x14ac:dyDescent="0.3">
      <c r="B32" s="216"/>
      <c r="C32" s="97" t="s">
        <v>842</v>
      </c>
      <c r="D32" s="51" t="s">
        <v>1932</v>
      </c>
      <c r="E32" s="249"/>
      <c r="F32" s="249"/>
      <c r="G32" s="249"/>
      <c r="H32" s="249"/>
      <c r="I32" s="249"/>
      <c r="J32" s="249"/>
      <c r="K32" s="249"/>
      <c r="L32" s="324"/>
      <c r="M32" s="324"/>
      <c r="N32" s="324"/>
    </row>
    <row r="33" spans="2:14" ht="15.75" thickBot="1" x14ac:dyDescent="0.3">
      <c r="B33" s="216"/>
      <c r="C33" s="2" t="s">
        <v>1017</v>
      </c>
      <c r="D33" s="46" t="s">
        <v>1933</v>
      </c>
      <c r="E33" s="570">
        <v>1</v>
      </c>
      <c r="F33" s="570">
        <v>2</v>
      </c>
      <c r="G33" s="570">
        <v>3</v>
      </c>
      <c r="H33" s="570">
        <v>4</v>
      </c>
      <c r="I33" s="570">
        <v>5</v>
      </c>
      <c r="J33" s="570">
        <v>6</v>
      </c>
      <c r="K33" s="570">
        <v>7</v>
      </c>
      <c r="L33" s="571">
        <v>8</v>
      </c>
      <c r="M33" s="571">
        <v>9</v>
      </c>
      <c r="N33" s="571">
        <v>10</v>
      </c>
    </row>
    <row r="34" spans="2:14" ht="15.75" thickBot="1" x14ac:dyDescent="0.3">
      <c r="B34" s="216"/>
      <c r="C34" s="2" t="s">
        <v>1019</v>
      </c>
      <c r="D34" s="244" t="s">
        <v>1934</v>
      </c>
      <c r="E34" s="346" t="s">
        <v>2137</v>
      </c>
      <c r="F34" s="347" t="s">
        <v>2137</v>
      </c>
      <c r="G34" s="347" t="s">
        <v>2138</v>
      </c>
      <c r="H34" s="347" t="s">
        <v>2138</v>
      </c>
      <c r="I34" s="347" t="s">
        <v>2139</v>
      </c>
      <c r="J34" s="347" t="s">
        <v>2139</v>
      </c>
      <c r="K34" s="347" t="s">
        <v>2140</v>
      </c>
      <c r="L34" s="348" t="s">
        <v>2140</v>
      </c>
      <c r="M34" s="348" t="s">
        <v>2140</v>
      </c>
      <c r="N34" s="348" t="s">
        <v>2140</v>
      </c>
    </row>
    <row r="35" spans="2:14" ht="24.75" thickBot="1" x14ac:dyDescent="0.3">
      <c r="B35" s="216"/>
      <c r="C35" s="2" t="s">
        <v>1021</v>
      </c>
      <c r="D35" s="244" t="s">
        <v>1935</v>
      </c>
      <c r="E35" s="349">
        <v>365</v>
      </c>
      <c r="F35" s="325">
        <v>365</v>
      </c>
      <c r="G35" s="325">
        <v>365</v>
      </c>
      <c r="H35" s="325">
        <v>365</v>
      </c>
      <c r="I35" s="349">
        <v>365</v>
      </c>
      <c r="J35" s="325">
        <v>365</v>
      </c>
      <c r="K35" s="349">
        <v>365</v>
      </c>
      <c r="L35" s="325">
        <v>365</v>
      </c>
      <c r="M35" s="325">
        <v>365</v>
      </c>
      <c r="N35" s="350">
        <v>365</v>
      </c>
    </row>
    <row r="36" spans="2:14" ht="24.75" thickBot="1" x14ac:dyDescent="0.3">
      <c r="B36" s="216"/>
      <c r="C36" s="2" t="s">
        <v>1103</v>
      </c>
      <c r="D36" s="244" t="s">
        <v>1936</v>
      </c>
      <c r="E36" s="351">
        <v>360</v>
      </c>
      <c r="F36" s="352">
        <v>360</v>
      </c>
      <c r="G36" s="352">
        <v>360</v>
      </c>
      <c r="H36" s="352">
        <v>360</v>
      </c>
      <c r="I36" s="351">
        <v>360</v>
      </c>
      <c r="J36" s="352">
        <v>360</v>
      </c>
      <c r="K36" s="351">
        <v>360</v>
      </c>
      <c r="L36" s="352">
        <v>360</v>
      </c>
      <c r="M36" s="352">
        <v>360</v>
      </c>
      <c r="N36" s="353">
        <v>360</v>
      </c>
    </row>
    <row r="37" spans="2:14" ht="24.75" thickBot="1" x14ac:dyDescent="0.3">
      <c r="B37" s="216"/>
      <c r="C37" s="1485" t="s">
        <v>1105</v>
      </c>
      <c r="D37" s="216" t="s">
        <v>1937</v>
      </c>
      <c r="E37" s="345">
        <v>0.98630136986301364</v>
      </c>
      <c r="F37" s="345">
        <v>0.98630136986301364</v>
      </c>
      <c r="G37" s="345">
        <v>0.98630136986301364</v>
      </c>
      <c r="H37" s="345">
        <v>0.98630136986301364</v>
      </c>
      <c r="I37" s="345">
        <v>0.98630136986301364</v>
      </c>
      <c r="J37" s="345">
        <v>0.98630136986301364</v>
      </c>
      <c r="K37" s="345">
        <v>0.98630136986301364</v>
      </c>
      <c r="L37" s="345">
        <v>0.98630136986301364</v>
      </c>
      <c r="M37" s="345">
        <v>0.98630136986301364</v>
      </c>
      <c r="N37" s="345">
        <v>0.98630136986301364</v>
      </c>
    </row>
    <row r="38" spans="2:14" ht="24.75" thickBot="1" x14ac:dyDescent="0.3">
      <c r="B38" s="216"/>
      <c r="C38" s="1486"/>
      <c r="D38" s="46" t="s">
        <v>1938</v>
      </c>
      <c r="E38" s="149">
        <v>1</v>
      </c>
      <c r="F38" s="149">
        <v>1</v>
      </c>
      <c r="G38" s="149">
        <v>1</v>
      </c>
      <c r="H38" s="149">
        <v>1</v>
      </c>
      <c r="I38" s="149">
        <v>1</v>
      </c>
      <c r="J38" s="149">
        <v>1</v>
      </c>
      <c r="K38" s="149">
        <v>1</v>
      </c>
      <c r="L38" s="149">
        <v>1</v>
      </c>
      <c r="M38" s="149">
        <v>1</v>
      </c>
      <c r="N38" s="149">
        <v>1</v>
      </c>
    </row>
    <row r="39" spans="2:14" ht="15.75" thickBot="1" x14ac:dyDescent="0.3">
      <c r="B39" s="216"/>
      <c r="C39" s="2" t="s">
        <v>1107</v>
      </c>
      <c r="D39" s="46" t="s">
        <v>1939</v>
      </c>
      <c r="E39" s="30"/>
      <c r="F39" s="30"/>
      <c r="G39" s="30"/>
      <c r="H39" s="30"/>
      <c r="I39" s="30"/>
      <c r="J39" s="30"/>
      <c r="K39" s="30"/>
      <c r="L39" s="30"/>
      <c r="M39" s="30"/>
      <c r="N39" s="30"/>
    </row>
    <row r="40" spans="2:14" x14ac:dyDescent="0.25">
      <c r="B40" s="216"/>
      <c r="C40" s="91"/>
      <c r="D40" s="1408"/>
      <c r="E40" s="1409"/>
      <c r="F40" s="1409"/>
      <c r="G40" s="1409"/>
      <c r="H40" s="1409"/>
      <c r="I40" s="1409"/>
      <c r="J40" s="1409"/>
      <c r="K40" s="1409"/>
      <c r="L40" s="1539"/>
      <c r="M40" s="1516"/>
    </row>
    <row r="41" spans="2:14" ht="15.75" thickBot="1" x14ac:dyDescent="0.3">
      <c r="B41" s="216"/>
      <c r="C41" s="91"/>
      <c r="D41" s="1414" t="s">
        <v>1940</v>
      </c>
      <c r="E41" s="1415"/>
      <c r="F41" s="1415"/>
      <c r="G41" s="1415"/>
      <c r="H41" s="1415"/>
      <c r="I41" s="1415"/>
      <c r="J41" s="1415"/>
      <c r="K41" s="1415"/>
      <c r="L41" s="1540"/>
      <c r="M41" s="1517"/>
    </row>
    <row r="42" spans="2:14" ht="15.75" thickBot="1" x14ac:dyDescent="0.3">
      <c r="B42" s="216"/>
      <c r="C42" s="97" t="s">
        <v>842</v>
      </c>
      <c r="D42" s="43" t="s">
        <v>1941</v>
      </c>
      <c r="E42" s="6">
        <v>1</v>
      </c>
      <c r="F42" s="6"/>
      <c r="G42" s="6"/>
      <c r="H42" s="43" t="s">
        <v>1016</v>
      </c>
      <c r="I42" s="5"/>
      <c r="J42" s="156" t="s">
        <v>1942</v>
      </c>
      <c r="K42" s="5"/>
      <c r="M42" s="13"/>
    </row>
    <row r="43" spans="2:14" ht="15.75" thickBot="1" x14ac:dyDescent="0.3">
      <c r="B43" s="216"/>
      <c r="C43" s="2" t="s">
        <v>1109</v>
      </c>
      <c r="D43" s="40" t="s">
        <v>1943</v>
      </c>
      <c r="E43" s="269">
        <v>10</v>
      </c>
      <c r="F43" s="30"/>
      <c r="G43" s="30"/>
      <c r="H43" s="150">
        <f>MAX(E42:G42)</f>
        <v>1</v>
      </c>
      <c r="I43" s="5"/>
      <c r="K43" s="5"/>
      <c r="M43" s="13"/>
    </row>
    <row r="44" spans="2:14" ht="15.75" thickBot="1" x14ac:dyDescent="0.3">
      <c r="B44" s="216"/>
      <c r="C44" s="2" t="s">
        <v>1111</v>
      </c>
      <c r="D44" s="40" t="s">
        <v>1944</v>
      </c>
      <c r="E44" s="6">
        <v>10</v>
      </c>
      <c r="F44" s="6"/>
      <c r="G44" s="6"/>
      <c r="H44" s="151">
        <f>SUM(E44:G44)</f>
        <v>10</v>
      </c>
      <c r="I44" s="5"/>
      <c r="J44" s="5"/>
      <c r="K44" s="5"/>
      <c r="M44" s="13"/>
    </row>
    <row r="45" spans="2:14" ht="36.75" thickBot="1" x14ac:dyDescent="0.3">
      <c r="B45" s="216"/>
      <c r="C45" s="2" t="s">
        <v>1113</v>
      </c>
      <c r="D45" s="40" t="s">
        <v>1945</v>
      </c>
      <c r="E45" s="6">
        <v>10</v>
      </c>
      <c r="F45" s="6"/>
      <c r="G45" s="6"/>
      <c r="H45" s="151">
        <f>SUM(E45:G45)</f>
        <v>10</v>
      </c>
      <c r="I45" s="5"/>
      <c r="J45" s="5"/>
      <c r="K45" s="5"/>
      <c r="M45" s="13"/>
    </row>
    <row r="46" spans="2:14" ht="24.75" thickBot="1" x14ac:dyDescent="0.3">
      <c r="B46" s="216"/>
      <c r="C46" s="1485" t="s">
        <v>1946</v>
      </c>
      <c r="D46" s="45" t="s">
        <v>1947</v>
      </c>
      <c r="E46" s="148">
        <f>IFERROR(E45/E44,"N.A.")</f>
        <v>1</v>
      </c>
      <c r="F46" s="148" t="str">
        <f>IFERROR(F45/F44,"N.A.")</f>
        <v>N.A.</v>
      </c>
      <c r="G46" s="148" t="str">
        <f>IFERROR(G45/G44,"N.A.")</f>
        <v>N.A.</v>
      </c>
      <c r="H46" s="152"/>
      <c r="I46" s="5"/>
      <c r="J46" s="5"/>
      <c r="K46" s="5"/>
      <c r="M46" s="13"/>
    </row>
    <row r="47" spans="2:14" ht="24.75" thickBot="1" x14ac:dyDescent="0.3">
      <c r="B47" s="216"/>
      <c r="C47" s="1486"/>
      <c r="D47" s="40" t="s">
        <v>1948</v>
      </c>
      <c r="E47" s="149">
        <f>+IF(E46="N.A.","N.A.",IF(E46&gt;=75%,1,0))</f>
        <v>1</v>
      </c>
      <c r="F47" s="149" t="str">
        <f>+IF(F46="N.A.","N.A.",IF(F46&gt;=75%,1,0))</f>
        <v>N.A.</v>
      </c>
      <c r="G47" s="149" t="str">
        <f>+IF(G46="N.A.","N.A.",IF(G46&gt;=75%,1,0))</f>
        <v>N.A.</v>
      </c>
      <c r="H47" s="151">
        <f>SUM(E47:G47)</f>
        <v>1</v>
      </c>
      <c r="I47" s="5"/>
      <c r="J47" s="5"/>
      <c r="K47" s="5"/>
      <c r="M47" s="13"/>
    </row>
    <row r="48" spans="2:14" ht="15.75" thickBot="1" x14ac:dyDescent="0.3">
      <c r="B48" s="216"/>
      <c r="C48" s="2" t="s">
        <v>1949</v>
      </c>
      <c r="D48" s="1435" t="s">
        <v>1950</v>
      </c>
      <c r="E48" s="1436"/>
      <c r="F48" s="1436"/>
      <c r="G48" s="1437"/>
      <c r="H48" s="208">
        <f>IFERROR(H47/H43,"N.A.")</f>
        <v>1</v>
      </c>
      <c r="I48" s="5"/>
      <c r="J48" s="5"/>
      <c r="K48" s="5"/>
      <c r="M48" s="13"/>
    </row>
    <row r="49" spans="2:13" ht="15.75" thickBot="1" x14ac:dyDescent="0.3">
      <c r="B49" s="216"/>
      <c r="C49" s="91"/>
      <c r="D49" s="1562" t="s">
        <v>1951</v>
      </c>
      <c r="E49" s="1563"/>
      <c r="F49" s="1563"/>
      <c r="G49" s="1563"/>
      <c r="H49" s="1563"/>
      <c r="I49" s="1563"/>
      <c r="J49" s="1563"/>
      <c r="K49" s="1563"/>
      <c r="L49" s="1614"/>
      <c r="M49" s="1591"/>
    </row>
    <row r="50" spans="2:13" ht="24.75" thickBot="1" x14ac:dyDescent="0.3">
      <c r="B50" s="216"/>
      <c r="C50" s="93"/>
      <c r="D50" s="43" t="s">
        <v>1928</v>
      </c>
      <c r="E50" s="6">
        <v>2</v>
      </c>
      <c r="F50" s="5"/>
      <c r="G50" s="5"/>
      <c r="H50" s="5"/>
      <c r="I50" s="5"/>
      <c r="J50" s="5"/>
      <c r="K50" s="5"/>
      <c r="M50" s="13"/>
    </row>
    <row r="51" spans="2:13" ht="24.75" thickBot="1" x14ac:dyDescent="0.3">
      <c r="B51" s="216"/>
      <c r="C51" s="93"/>
      <c r="D51" s="40" t="s">
        <v>1929</v>
      </c>
      <c r="E51" s="6">
        <v>2</v>
      </c>
      <c r="F51" s="5"/>
      <c r="G51" s="5"/>
      <c r="H51" s="5"/>
      <c r="I51" s="5"/>
      <c r="J51" s="5"/>
      <c r="K51" s="5"/>
      <c r="M51" s="13"/>
    </row>
    <row r="52" spans="2:13" ht="24.75" thickBot="1" x14ac:dyDescent="0.3">
      <c r="B52" s="216"/>
      <c r="C52" s="93"/>
      <c r="D52" s="40" t="s">
        <v>1930</v>
      </c>
      <c r="E52" s="6">
        <v>2</v>
      </c>
      <c r="F52" s="5"/>
      <c r="G52" s="5"/>
      <c r="H52" s="5"/>
      <c r="I52" s="5"/>
      <c r="J52" s="5"/>
      <c r="K52" s="5"/>
      <c r="M52" s="13"/>
    </row>
    <row r="53" spans="2:13" ht="15.75" thickBot="1" x14ac:dyDescent="0.3">
      <c r="B53" s="216"/>
      <c r="C53" s="91"/>
      <c r="D53" s="1438" t="s">
        <v>1931</v>
      </c>
      <c r="E53" s="1439"/>
      <c r="F53" s="1439"/>
      <c r="G53" s="1415"/>
      <c r="H53" s="1415"/>
      <c r="I53" s="1415"/>
      <c r="J53" s="1415"/>
      <c r="K53" s="1415"/>
      <c r="L53" s="1540"/>
      <c r="M53" s="1517"/>
    </row>
    <row r="54" spans="2:13" ht="15.75" thickBot="1" x14ac:dyDescent="0.3">
      <c r="B54" s="216"/>
      <c r="C54" s="97" t="s">
        <v>842</v>
      </c>
      <c r="D54" s="43" t="s">
        <v>1932</v>
      </c>
      <c r="E54" s="249"/>
      <c r="F54" s="572"/>
      <c r="G54" s="580"/>
      <c r="H54" s="581"/>
      <c r="I54" s="581"/>
      <c r="J54" s="581"/>
      <c r="K54" s="581"/>
      <c r="L54" s="582"/>
      <c r="M54" s="292"/>
    </row>
    <row r="55" spans="2:13" ht="15.75" thickBot="1" x14ac:dyDescent="0.3">
      <c r="B55" s="216"/>
      <c r="C55" s="2" t="s">
        <v>1017</v>
      </c>
      <c r="D55" s="40" t="s">
        <v>1933</v>
      </c>
      <c r="E55" s="30">
        <v>1</v>
      </c>
      <c r="F55" s="573">
        <v>2</v>
      </c>
      <c r="G55" s="583"/>
      <c r="H55" s="7"/>
      <c r="I55" s="7"/>
      <c r="J55" s="7"/>
      <c r="K55" s="7"/>
      <c r="L55" s="577"/>
      <c r="M55" s="13"/>
    </row>
    <row r="56" spans="2:13" ht="15.75" thickBot="1" x14ac:dyDescent="0.3">
      <c r="B56" s="216"/>
      <c r="C56" s="2" t="s">
        <v>1019</v>
      </c>
      <c r="D56" s="40" t="s">
        <v>1934</v>
      </c>
      <c r="E56" s="30" t="s">
        <v>2137</v>
      </c>
      <c r="F56" s="573" t="s">
        <v>2140</v>
      </c>
      <c r="G56" s="583"/>
      <c r="H56" s="7"/>
      <c r="I56" s="7"/>
      <c r="J56" s="7"/>
      <c r="K56" s="7"/>
      <c r="L56" s="577"/>
      <c r="M56" s="13"/>
    </row>
    <row r="57" spans="2:13" ht="24.75" thickBot="1" x14ac:dyDescent="0.3">
      <c r="B57" s="216"/>
      <c r="C57" s="2" t="s">
        <v>1021</v>
      </c>
      <c r="D57" s="40" t="s">
        <v>1935</v>
      </c>
      <c r="E57" s="325">
        <v>365</v>
      </c>
      <c r="F57" s="574">
        <v>365</v>
      </c>
      <c r="G57" s="584"/>
      <c r="H57" s="578"/>
      <c r="I57" s="578"/>
      <c r="J57" s="578"/>
      <c r="K57" s="578"/>
      <c r="L57" s="578"/>
      <c r="M57" s="13"/>
    </row>
    <row r="58" spans="2:13" ht="24.75" thickBot="1" x14ac:dyDescent="0.3">
      <c r="B58" s="216"/>
      <c r="C58" s="2" t="s">
        <v>1103</v>
      </c>
      <c r="D58" s="40" t="s">
        <v>1936</v>
      </c>
      <c r="E58" s="325">
        <v>360</v>
      </c>
      <c r="F58" s="574">
        <v>360</v>
      </c>
      <c r="G58" s="584"/>
      <c r="H58" s="578"/>
      <c r="I58" s="578"/>
      <c r="J58" s="578"/>
      <c r="K58" s="578"/>
      <c r="L58" s="578"/>
      <c r="M58" s="13"/>
    </row>
    <row r="59" spans="2:13" ht="24.75" thickBot="1" x14ac:dyDescent="0.3">
      <c r="B59" s="216"/>
      <c r="C59" s="1485" t="s">
        <v>1105</v>
      </c>
      <c r="D59" s="45" t="s">
        <v>1937</v>
      </c>
      <c r="E59" s="148">
        <v>0.98630136986301364</v>
      </c>
      <c r="F59" s="575">
        <v>0.98630136986301364</v>
      </c>
      <c r="G59" s="585"/>
      <c r="H59" s="579"/>
      <c r="I59" s="579"/>
      <c r="J59" s="579"/>
      <c r="K59" s="579"/>
      <c r="L59" s="579"/>
      <c r="M59" s="13"/>
    </row>
    <row r="60" spans="2:13" ht="24.75" thickBot="1" x14ac:dyDescent="0.3">
      <c r="B60" s="216"/>
      <c r="C60" s="1486"/>
      <c r="D60" s="40" t="s">
        <v>1952</v>
      </c>
      <c r="E60" s="149">
        <v>1</v>
      </c>
      <c r="F60" s="576">
        <v>1</v>
      </c>
      <c r="G60" s="91"/>
      <c r="H60" s="100"/>
      <c r="I60" s="100"/>
      <c r="J60" s="100"/>
      <c r="K60" s="100"/>
      <c r="L60" s="100"/>
      <c r="M60" s="13"/>
    </row>
    <row r="61" spans="2:13" ht="15.75" thickBot="1" x14ac:dyDescent="0.3">
      <c r="B61" s="216"/>
      <c r="C61" s="2" t="s">
        <v>1107</v>
      </c>
      <c r="D61" s="40" t="s">
        <v>1939</v>
      </c>
      <c r="E61" s="29"/>
      <c r="F61" s="573"/>
      <c r="G61" s="586"/>
      <c r="H61" s="587"/>
      <c r="I61" s="587"/>
      <c r="J61" s="587"/>
      <c r="K61" s="587"/>
      <c r="L61" s="588"/>
      <c r="M61" s="10"/>
    </row>
    <row r="62" spans="2:13" x14ac:dyDescent="0.25">
      <c r="B62" s="216"/>
      <c r="C62" s="91"/>
      <c r="D62" s="1408"/>
      <c r="E62" s="1409"/>
      <c r="F62" s="1409"/>
      <c r="G62" s="1415"/>
      <c r="H62" s="1415"/>
      <c r="I62" s="1415"/>
      <c r="J62" s="1415"/>
      <c r="K62" s="1415"/>
      <c r="L62" s="1540"/>
      <c r="M62" s="1517"/>
    </row>
    <row r="63" spans="2:13" ht="15.75" thickBot="1" x14ac:dyDescent="0.3">
      <c r="B63" s="216"/>
      <c r="C63" s="91"/>
      <c r="D63" s="1414" t="s">
        <v>1940</v>
      </c>
      <c r="E63" s="1415"/>
      <c r="F63" s="1415"/>
      <c r="G63" s="1415"/>
      <c r="H63" s="1415"/>
      <c r="I63" s="1415"/>
      <c r="J63" s="1415"/>
      <c r="K63" s="1415"/>
      <c r="L63" s="1540"/>
      <c r="M63" s="1517"/>
    </row>
    <row r="64" spans="2:13" ht="15.75" thickBot="1" x14ac:dyDescent="0.3">
      <c r="B64" s="216"/>
      <c r="C64" s="97" t="s">
        <v>842</v>
      </c>
      <c r="D64" s="43" t="s">
        <v>1941</v>
      </c>
      <c r="E64" s="43">
        <v>1</v>
      </c>
      <c r="F64" s="43">
        <v>2</v>
      </c>
      <c r="G64" s="43">
        <v>3</v>
      </c>
      <c r="H64" s="43" t="s">
        <v>1016</v>
      </c>
      <c r="I64" s="5"/>
      <c r="J64" s="5"/>
      <c r="K64" s="5"/>
      <c r="M64" s="13"/>
    </row>
    <row r="65" spans="2:13" ht="15.75" thickBot="1" x14ac:dyDescent="0.3">
      <c r="B65" s="216"/>
      <c r="C65" s="2" t="s">
        <v>1109</v>
      </c>
      <c r="D65" s="40" t="s">
        <v>1943</v>
      </c>
      <c r="E65" s="39" t="s">
        <v>1953</v>
      </c>
      <c r="F65" s="39" t="s">
        <v>1954</v>
      </c>
      <c r="G65" s="39" t="s">
        <v>1955</v>
      </c>
      <c r="H65" s="150">
        <f>MAX(E64:G64)</f>
        <v>3</v>
      </c>
      <c r="I65" s="5"/>
      <c r="J65" s="5"/>
      <c r="K65" s="5"/>
      <c r="M65" s="13"/>
    </row>
    <row r="66" spans="2:13" ht="15.75" thickBot="1" x14ac:dyDescent="0.3">
      <c r="B66" s="216"/>
      <c r="C66" s="2" t="s">
        <v>1111</v>
      </c>
      <c r="D66" s="40" t="s">
        <v>1944</v>
      </c>
      <c r="E66" s="6"/>
      <c r="F66" s="6"/>
      <c r="G66" s="6"/>
      <c r="H66" s="151">
        <f>SUM(E66:G66)</f>
        <v>0</v>
      </c>
      <c r="I66" s="5"/>
      <c r="J66" s="5"/>
      <c r="K66" s="5"/>
      <c r="M66" s="13"/>
    </row>
    <row r="67" spans="2:13" ht="36.75" thickBot="1" x14ac:dyDescent="0.3">
      <c r="B67" s="216"/>
      <c r="C67" s="2" t="s">
        <v>1113</v>
      </c>
      <c r="D67" s="40" t="s">
        <v>1956</v>
      </c>
      <c r="E67" s="6"/>
      <c r="F67" s="6"/>
      <c r="G67" s="6"/>
      <c r="H67" s="151">
        <f>SUM(E67:G67)</f>
        <v>0</v>
      </c>
      <c r="I67" s="5"/>
      <c r="J67" s="5"/>
      <c r="K67" s="5"/>
      <c r="M67" s="13"/>
    </row>
    <row r="68" spans="2:13" ht="24.75" thickBot="1" x14ac:dyDescent="0.3">
      <c r="B68" s="216"/>
      <c r="C68" s="1485" t="s">
        <v>1946</v>
      </c>
      <c r="D68" s="45" t="s">
        <v>1947</v>
      </c>
      <c r="E68" s="148" t="e">
        <f>+E67/E66</f>
        <v>#DIV/0!</v>
      </c>
      <c r="F68" s="148" t="e">
        <f>+F67/F66</f>
        <v>#DIV/0!</v>
      </c>
      <c r="G68" s="148" t="e">
        <f>+G67/G66</f>
        <v>#DIV/0!</v>
      </c>
      <c r="H68" s="152"/>
      <c r="I68" s="5"/>
      <c r="J68" s="5"/>
      <c r="K68" s="5"/>
      <c r="M68" s="13"/>
    </row>
    <row r="69" spans="2:13" ht="24.75" thickBot="1" x14ac:dyDescent="0.3">
      <c r="B69" s="216"/>
      <c r="C69" s="1486"/>
      <c r="D69" s="40" t="s">
        <v>1948</v>
      </c>
      <c r="E69" s="149" t="e">
        <f>+IF(E68&gt;=75%,1,0)</f>
        <v>#DIV/0!</v>
      </c>
      <c r="F69" s="149" t="e">
        <f>+IF(F68&gt;=75%,1,0)</f>
        <v>#DIV/0!</v>
      </c>
      <c r="G69" s="149" t="e">
        <f>+IF(G68&gt;=75%,1,0)</f>
        <v>#DIV/0!</v>
      </c>
      <c r="H69" s="151" t="e">
        <f>SUM(E69:G69)</f>
        <v>#DIV/0!</v>
      </c>
      <c r="I69" s="5"/>
      <c r="J69" s="5"/>
      <c r="K69" s="5"/>
      <c r="M69" s="13"/>
    </row>
    <row r="70" spans="2:13" ht="15.75" thickBot="1" x14ac:dyDescent="0.3">
      <c r="B70" s="216"/>
      <c r="C70" s="2" t="s">
        <v>1949</v>
      </c>
      <c r="D70" s="1435" t="s">
        <v>1950</v>
      </c>
      <c r="E70" s="1436"/>
      <c r="F70" s="1436"/>
      <c r="G70" s="1437"/>
      <c r="H70" s="153" t="str">
        <f>IFERROR(H69/H65,"N.A.")</f>
        <v>N.A.</v>
      </c>
      <c r="I70" s="5"/>
      <c r="J70" s="5"/>
      <c r="K70" s="5"/>
      <c r="M70" s="13"/>
    </row>
    <row r="71" spans="2:13" x14ac:dyDescent="0.25">
      <c r="B71" s="216"/>
      <c r="C71" s="91"/>
      <c r="D71" s="1414"/>
      <c r="E71" s="1415"/>
      <c r="F71" s="1415"/>
      <c r="G71" s="1415"/>
      <c r="H71" s="1415"/>
      <c r="I71" s="1415"/>
      <c r="J71" s="1415"/>
      <c r="K71" s="1415"/>
      <c r="L71" s="1540"/>
      <c r="M71" s="1517"/>
    </row>
    <row r="72" spans="2:13" ht="15.75" thickBot="1" x14ac:dyDescent="0.3">
      <c r="B72" s="216"/>
      <c r="C72" s="91"/>
      <c r="D72" s="1411" t="s">
        <v>1957</v>
      </c>
      <c r="E72" s="1412"/>
      <c r="F72" s="1412"/>
      <c r="G72" s="1412"/>
      <c r="H72" s="1412"/>
      <c r="I72" s="1412"/>
      <c r="J72" s="1412"/>
      <c r="K72" s="1412"/>
      <c r="L72" s="1541"/>
      <c r="M72" s="1518"/>
    </row>
    <row r="73" spans="2:13" ht="15.75" thickBot="1" x14ac:dyDescent="0.3">
      <c r="B73" s="216"/>
      <c r="C73" s="97" t="s">
        <v>1958</v>
      </c>
      <c r="D73" s="38" t="s">
        <v>1959</v>
      </c>
      <c r="E73" s="154">
        <f>+H48</f>
        <v>1</v>
      </c>
      <c r="F73" s="5"/>
      <c r="G73" s="5"/>
      <c r="H73" s="5"/>
      <c r="I73" s="5"/>
      <c r="J73" s="5"/>
      <c r="K73" s="5"/>
      <c r="M73" s="13"/>
    </row>
    <row r="74" spans="2:13" ht="15.75" thickBot="1" x14ac:dyDescent="0.3">
      <c r="B74" s="216"/>
      <c r="C74" s="2" t="s">
        <v>1960</v>
      </c>
      <c r="D74" s="39" t="s">
        <v>1961</v>
      </c>
      <c r="E74" s="155" t="str">
        <f>+H70</f>
        <v>N.A.</v>
      </c>
      <c r="F74" s="5"/>
      <c r="G74" s="5"/>
      <c r="H74" s="5"/>
      <c r="I74" s="5"/>
      <c r="J74" s="5"/>
      <c r="K74" s="5"/>
      <c r="M74" s="13"/>
    </row>
    <row r="75" spans="2:13" ht="36.75" thickBot="1" x14ac:dyDescent="0.3">
      <c r="B75" s="216"/>
      <c r="C75" s="2" t="s">
        <v>842</v>
      </c>
      <c r="D75" s="40" t="s">
        <v>1962</v>
      </c>
      <c r="E75" s="155">
        <f>AVERAGE(E73:E74)</f>
        <v>1</v>
      </c>
      <c r="F75" s="5"/>
      <c r="G75" s="5"/>
      <c r="H75" s="5"/>
      <c r="I75" s="5"/>
      <c r="J75" s="5"/>
      <c r="K75" s="5"/>
      <c r="M75" s="13"/>
    </row>
    <row r="76" spans="2:13" x14ac:dyDescent="0.25">
      <c r="B76" s="216"/>
      <c r="C76" s="91"/>
      <c r="D76" s="1414"/>
      <c r="E76" s="1415"/>
      <c r="F76" s="1415"/>
      <c r="G76" s="1415"/>
      <c r="H76" s="1415"/>
      <c r="I76" s="1415"/>
      <c r="J76" s="1415"/>
      <c r="K76" s="1415"/>
      <c r="L76" s="1540"/>
      <c r="M76" s="1517"/>
    </row>
    <row r="77" spans="2:13" ht="15.75" thickBot="1" x14ac:dyDescent="0.3">
      <c r="B77" s="216"/>
      <c r="C77" s="91"/>
      <c r="D77" s="1411" t="s">
        <v>1963</v>
      </c>
      <c r="E77" s="1412"/>
      <c r="F77" s="1412"/>
      <c r="G77" s="1412"/>
      <c r="H77" s="1412"/>
      <c r="I77" s="1412"/>
      <c r="J77" s="1412"/>
      <c r="K77" s="1412"/>
      <c r="L77" s="1541"/>
      <c r="M77" s="1518"/>
    </row>
    <row r="78" spans="2:13" ht="15.75" thickBot="1" x14ac:dyDescent="0.3">
      <c r="B78" s="216"/>
      <c r="C78" s="93"/>
      <c r="D78" s="24"/>
      <c r="E78" s="38" t="s">
        <v>76</v>
      </c>
      <c r="F78" s="38" t="s">
        <v>1309</v>
      </c>
      <c r="H78" s="5"/>
      <c r="I78" s="5"/>
      <c r="J78" s="5"/>
      <c r="K78" s="5"/>
      <c r="M78" s="13"/>
    </row>
    <row r="79" spans="2:13" ht="24.75" thickBot="1" x14ac:dyDescent="0.3">
      <c r="B79" s="216"/>
      <c r="C79" s="93"/>
      <c r="D79" s="40" t="s">
        <v>1964</v>
      </c>
      <c r="E79" s="142">
        <f>+E25</f>
        <v>1</v>
      </c>
      <c r="F79" s="31">
        <v>0.5</v>
      </c>
      <c r="G79" s="5"/>
      <c r="H79" s="5"/>
      <c r="I79" s="5"/>
      <c r="J79" s="5"/>
      <c r="K79" s="5"/>
      <c r="M79" s="13"/>
    </row>
    <row r="80" spans="2:13" ht="24.75" thickBot="1" x14ac:dyDescent="0.3">
      <c r="B80" s="216"/>
      <c r="C80" s="93"/>
      <c r="D80" s="40" t="s">
        <v>1965</v>
      </c>
      <c r="E80" s="142">
        <f>+E75</f>
        <v>1</v>
      </c>
      <c r="F80" s="31">
        <v>0.5</v>
      </c>
      <c r="G80" s="5"/>
      <c r="H80" s="5"/>
      <c r="I80" s="5"/>
      <c r="J80" s="5"/>
      <c r="K80" s="5"/>
      <c r="M80" s="13"/>
    </row>
    <row r="81" spans="2:13" ht="24.75" thickBot="1" x14ac:dyDescent="0.3">
      <c r="B81" s="46"/>
      <c r="C81" s="2"/>
      <c r="D81" s="40" t="s">
        <v>114</v>
      </c>
      <c r="E81" s="204" t="str">
        <f>Formulas!$D$29</f>
        <v/>
      </c>
      <c r="F81" s="196">
        <f>IFERROR(Formulas!$E$29,0)</f>
        <v>1</v>
      </c>
      <c r="G81" s="22"/>
      <c r="H81" s="22"/>
      <c r="I81" s="22"/>
      <c r="J81" s="22"/>
      <c r="K81" s="22"/>
      <c r="L81" s="14"/>
      <c r="M81" s="10"/>
    </row>
    <row r="82" spans="2:13" ht="24" customHeight="1" thickBot="1" x14ac:dyDescent="0.3">
      <c r="B82" s="46" t="s">
        <v>924</v>
      </c>
      <c r="C82" s="92"/>
      <c r="D82" s="1435" t="s">
        <v>1966</v>
      </c>
      <c r="E82" s="1436"/>
      <c r="F82" s="1436"/>
      <c r="G82" s="1436"/>
      <c r="H82" s="1436"/>
      <c r="I82" s="1436"/>
      <c r="J82" s="1436"/>
      <c r="K82" s="1436"/>
      <c r="L82" s="1538"/>
      <c r="M82" s="1530"/>
    </row>
    <row r="83" spans="2:13" ht="48.75" thickBot="1" x14ac:dyDescent="0.3">
      <c r="B83" s="46" t="s">
        <v>926</v>
      </c>
      <c r="C83" s="92"/>
      <c r="D83" s="1435" t="s">
        <v>1024</v>
      </c>
      <c r="E83" s="1436"/>
      <c r="F83" s="1436"/>
      <c r="G83" s="1436"/>
      <c r="H83" s="1436"/>
      <c r="I83" s="1436"/>
      <c r="J83" s="1436"/>
      <c r="K83" s="1436"/>
      <c r="L83" s="1538"/>
      <c r="M83" s="1530"/>
    </row>
    <row r="84" spans="2:13" ht="15.75" thickBot="1" x14ac:dyDescent="0.3">
      <c r="B84" s="1"/>
      <c r="C84" s="75"/>
      <c r="D84" s="5"/>
      <c r="E84" s="5"/>
      <c r="F84" s="5"/>
      <c r="G84" s="5"/>
      <c r="H84" s="5"/>
      <c r="I84" s="5"/>
      <c r="J84" s="5"/>
      <c r="K84" s="5"/>
    </row>
    <row r="85" spans="2:13" ht="24" customHeight="1" thickBot="1" x14ac:dyDescent="0.3">
      <c r="B85" s="1426" t="s">
        <v>928</v>
      </c>
      <c r="C85" s="1427"/>
      <c r="D85" s="1427"/>
      <c r="E85" s="1428"/>
      <c r="F85" s="5"/>
      <c r="G85" s="5"/>
      <c r="H85" s="5"/>
      <c r="I85" s="5"/>
      <c r="J85" s="5"/>
      <c r="K85" s="5"/>
    </row>
    <row r="86" spans="2:13" ht="15.75" thickBot="1" x14ac:dyDescent="0.3">
      <c r="B86" s="1423">
        <v>1</v>
      </c>
      <c r="C86" s="93"/>
      <c r="D86" s="47" t="s">
        <v>929</v>
      </c>
      <c r="E86" s="160" t="s">
        <v>2093</v>
      </c>
      <c r="F86" s="5"/>
      <c r="G86" s="5"/>
      <c r="H86" s="5"/>
      <c r="I86" s="5"/>
      <c r="J86" s="5"/>
      <c r="K86" s="5"/>
    </row>
    <row r="87" spans="2:13" ht="15.75" thickBot="1" x14ac:dyDescent="0.3">
      <c r="B87" s="1424"/>
      <c r="C87" s="93"/>
      <c r="D87" s="40" t="s">
        <v>7</v>
      </c>
      <c r="E87" s="160" t="s">
        <v>2098</v>
      </c>
      <c r="F87" s="5"/>
      <c r="G87" s="5"/>
      <c r="H87" s="5"/>
      <c r="I87" s="5"/>
      <c r="J87" s="5"/>
      <c r="K87" s="5"/>
    </row>
    <row r="88" spans="2:13" ht="15.75" thickBot="1" x14ac:dyDescent="0.3">
      <c r="B88" s="1424"/>
      <c r="C88" s="93"/>
      <c r="D88" s="40" t="s">
        <v>930</v>
      </c>
      <c r="E88" s="160" t="s">
        <v>2141</v>
      </c>
      <c r="F88" s="5"/>
      <c r="G88" s="5"/>
      <c r="H88" s="5"/>
      <c r="I88" s="5"/>
      <c r="J88" s="5"/>
      <c r="K88" s="5"/>
    </row>
    <row r="89" spans="2:13" ht="15.75" thickBot="1" x14ac:dyDescent="0.3">
      <c r="B89" s="1424"/>
      <c r="C89" s="93"/>
      <c r="D89" s="40" t="s">
        <v>9</v>
      </c>
      <c r="E89" s="160" t="s">
        <v>2133</v>
      </c>
      <c r="F89" s="5"/>
      <c r="G89" s="5"/>
      <c r="H89" s="5"/>
      <c r="I89" s="5"/>
      <c r="J89" s="5"/>
      <c r="K89" s="5"/>
    </row>
    <row r="90" spans="2:13" ht="15.75" thickBot="1" x14ac:dyDescent="0.3">
      <c r="B90" s="1424"/>
      <c r="C90" s="93"/>
      <c r="D90" s="40" t="s">
        <v>11</v>
      </c>
      <c r="E90" s="160" t="s">
        <v>2142</v>
      </c>
      <c r="F90" s="5"/>
      <c r="G90" s="5"/>
      <c r="H90" s="5"/>
      <c r="I90" s="5"/>
      <c r="J90" s="5"/>
      <c r="K90" s="5"/>
    </row>
    <row r="91" spans="2:13" ht="15.75" thickBot="1" x14ac:dyDescent="0.3">
      <c r="B91" s="1424"/>
      <c r="C91" s="93"/>
      <c r="D91" s="40" t="s">
        <v>13</v>
      </c>
      <c r="E91" s="160">
        <v>6695278</v>
      </c>
      <c r="F91" s="5"/>
      <c r="G91" s="5"/>
      <c r="H91" s="5"/>
      <c r="I91" s="5"/>
      <c r="J91" s="5"/>
      <c r="K91" s="5"/>
    </row>
    <row r="92" spans="2:13" ht="15.75" thickBot="1" x14ac:dyDescent="0.3">
      <c r="B92" s="1425"/>
      <c r="C92" s="2"/>
      <c r="D92" s="40" t="s">
        <v>931</v>
      </c>
      <c r="E92" s="160" t="s">
        <v>2097</v>
      </c>
      <c r="F92" s="5"/>
      <c r="G92" s="5"/>
      <c r="H92" s="5"/>
      <c r="I92" s="5"/>
      <c r="J92" s="5"/>
      <c r="K92" s="5"/>
    </row>
    <row r="93" spans="2:13" ht="15.75" thickBot="1" x14ac:dyDescent="0.3">
      <c r="B93" s="1"/>
      <c r="C93" s="75"/>
      <c r="D93" s="5"/>
      <c r="E93" s="5"/>
      <c r="F93" s="5"/>
      <c r="G93" s="5"/>
      <c r="H93" s="5"/>
      <c r="I93" s="5"/>
      <c r="J93" s="5"/>
      <c r="K93" s="5"/>
    </row>
    <row r="94" spans="2:13" ht="15.75" thickBot="1" x14ac:dyDescent="0.3">
      <c r="B94" s="1426" t="s">
        <v>932</v>
      </c>
      <c r="C94" s="1427"/>
      <c r="D94" s="1427"/>
      <c r="E94" s="1428"/>
      <c r="F94" s="5"/>
      <c r="G94" s="5"/>
      <c r="H94" s="5"/>
      <c r="I94" s="5"/>
      <c r="J94" s="5"/>
      <c r="K94" s="5"/>
    </row>
    <row r="95" spans="2:13" ht="15.75" thickBot="1" x14ac:dyDescent="0.3">
      <c r="B95" s="1423">
        <v>1</v>
      </c>
      <c r="C95" s="93"/>
      <c r="D95" s="47" t="s">
        <v>929</v>
      </c>
      <c r="E95" s="217" t="s">
        <v>933</v>
      </c>
      <c r="F95" s="5"/>
      <c r="G95" s="5"/>
      <c r="H95" s="5"/>
      <c r="I95" s="5"/>
      <c r="J95" s="5"/>
      <c r="K95" s="5"/>
    </row>
    <row r="96" spans="2:13" ht="15.75" thickBot="1" x14ac:dyDescent="0.3">
      <c r="B96" s="1424"/>
      <c r="C96" s="93"/>
      <c r="D96" s="40" t="s">
        <v>7</v>
      </c>
      <c r="E96" s="217" t="s">
        <v>1025</v>
      </c>
      <c r="F96" s="5"/>
      <c r="G96" s="5"/>
      <c r="H96" s="5"/>
      <c r="I96" s="5"/>
      <c r="J96" s="5"/>
      <c r="K96" s="5"/>
    </row>
    <row r="97" spans="2:11" ht="15.75" thickBot="1" x14ac:dyDescent="0.3">
      <c r="B97" s="1424"/>
      <c r="C97" s="93"/>
      <c r="D97" s="40" t="s">
        <v>930</v>
      </c>
      <c r="E97" s="165"/>
      <c r="F97" s="5"/>
      <c r="G97" s="5"/>
      <c r="H97" s="5"/>
      <c r="I97" s="5"/>
      <c r="J97" s="5"/>
      <c r="K97" s="5"/>
    </row>
    <row r="98" spans="2:11" ht="15.75" thickBot="1" x14ac:dyDescent="0.3">
      <c r="B98" s="1424"/>
      <c r="C98" s="93"/>
      <c r="D98" s="40" t="s">
        <v>9</v>
      </c>
      <c r="E98" s="165"/>
      <c r="F98" s="5"/>
      <c r="G98" s="5"/>
      <c r="H98" s="5"/>
      <c r="I98" s="5"/>
      <c r="J98" s="5"/>
      <c r="K98" s="5"/>
    </row>
    <row r="99" spans="2:11" ht="15.75" thickBot="1" x14ac:dyDescent="0.3">
      <c r="B99" s="1424"/>
      <c r="C99" s="93"/>
      <c r="D99" s="40" t="s">
        <v>11</v>
      </c>
      <c r="E99" s="165"/>
      <c r="F99" s="5"/>
      <c r="G99" s="5"/>
      <c r="H99" s="5"/>
      <c r="I99" s="5"/>
      <c r="J99" s="5"/>
      <c r="K99" s="5"/>
    </row>
    <row r="100" spans="2:11" ht="15.75" thickBot="1" x14ac:dyDescent="0.3">
      <c r="B100" s="1424"/>
      <c r="C100" s="93"/>
      <c r="D100" s="40" t="s">
        <v>13</v>
      </c>
      <c r="E100" s="165"/>
      <c r="F100" s="5"/>
      <c r="G100" s="5"/>
      <c r="H100" s="5"/>
      <c r="I100" s="5"/>
      <c r="J100" s="5"/>
      <c r="K100" s="5"/>
    </row>
    <row r="101" spans="2:11" ht="15.75" thickBot="1" x14ac:dyDescent="0.3">
      <c r="B101" s="1425"/>
      <c r="C101" s="2"/>
      <c r="D101" s="40" t="s">
        <v>931</v>
      </c>
      <c r="E101" s="165"/>
      <c r="F101" s="5"/>
      <c r="G101" s="5"/>
      <c r="H101" s="5"/>
      <c r="I101" s="5"/>
      <c r="J101" s="5"/>
      <c r="K101" s="5"/>
    </row>
    <row r="102" spans="2:11" ht="15.75" thickBot="1" x14ac:dyDescent="0.3">
      <c r="B102" s="1"/>
      <c r="C102" s="75"/>
      <c r="D102" s="5"/>
      <c r="E102" s="5"/>
      <c r="F102" s="5"/>
      <c r="G102" s="5"/>
      <c r="H102" s="5"/>
      <c r="I102" s="5"/>
      <c r="J102" s="5"/>
      <c r="K102" s="5"/>
    </row>
    <row r="103" spans="2:11" ht="15" customHeight="1" thickBot="1" x14ac:dyDescent="0.3">
      <c r="B103" s="121" t="s">
        <v>935</v>
      </c>
      <c r="C103" s="122"/>
      <c r="D103" s="122"/>
      <c r="E103" s="123"/>
      <c r="G103" s="5"/>
      <c r="H103" s="5"/>
      <c r="I103" s="5"/>
      <c r="J103" s="5"/>
      <c r="K103" s="5"/>
    </row>
    <row r="104" spans="2:11" ht="24.75" thickBot="1" x14ac:dyDescent="0.3">
      <c r="B104" s="46" t="s">
        <v>936</v>
      </c>
      <c r="C104" s="40" t="s">
        <v>937</v>
      </c>
      <c r="D104" s="40" t="s">
        <v>938</v>
      </c>
      <c r="E104" s="40" t="s">
        <v>939</v>
      </c>
      <c r="F104" s="5"/>
      <c r="G104" s="5"/>
      <c r="H104" s="5"/>
      <c r="I104" s="5"/>
      <c r="J104" s="5"/>
    </row>
    <row r="105" spans="2:11" ht="72.75" thickBot="1" x14ac:dyDescent="0.3">
      <c r="B105" s="48">
        <v>42401</v>
      </c>
      <c r="C105" s="40">
        <v>1</v>
      </c>
      <c r="D105" s="49" t="s">
        <v>1967</v>
      </c>
      <c r="E105" s="40"/>
      <c r="F105" s="5"/>
      <c r="G105" s="5"/>
      <c r="H105" s="5"/>
      <c r="I105" s="5"/>
      <c r="J105" s="5"/>
    </row>
    <row r="106" spans="2:11" ht="15.75" thickBot="1" x14ac:dyDescent="0.3">
      <c r="B106" s="3"/>
      <c r="C106" s="94"/>
      <c r="D106" s="5"/>
      <c r="E106" s="5"/>
      <c r="F106" s="5"/>
      <c r="G106" s="5"/>
      <c r="H106" s="5"/>
      <c r="I106" s="5"/>
      <c r="J106" s="5"/>
      <c r="K106" s="5"/>
    </row>
    <row r="107" spans="2:11" ht="24.75" thickBot="1" x14ac:dyDescent="0.3">
      <c r="B107" s="128" t="s">
        <v>846</v>
      </c>
      <c r="C107" s="95"/>
      <c r="D107" s="5"/>
      <c r="E107" s="5"/>
      <c r="F107" s="5"/>
      <c r="G107" s="5"/>
      <c r="H107" s="5"/>
      <c r="I107" s="5"/>
      <c r="J107" s="5"/>
      <c r="K107" s="5"/>
    </row>
    <row r="108" spans="2:11" x14ac:dyDescent="0.25">
      <c r="B108" s="1593"/>
      <c r="C108" s="1594"/>
      <c r="D108" s="1594"/>
      <c r="E108" s="1594"/>
      <c r="F108" s="1594"/>
      <c r="G108" s="1594"/>
      <c r="H108" s="1594"/>
      <c r="I108" s="1595"/>
      <c r="J108" s="5"/>
      <c r="K108" s="5"/>
    </row>
    <row r="109" spans="2:11" ht="15.75" thickBot="1" x14ac:dyDescent="0.3">
      <c r="B109" s="1596"/>
      <c r="C109" s="1597"/>
      <c r="D109" s="1597"/>
      <c r="E109" s="1597"/>
      <c r="F109" s="1597"/>
      <c r="G109" s="1597"/>
      <c r="H109" s="1597"/>
      <c r="I109" s="1598"/>
      <c r="J109" s="5"/>
      <c r="K109" s="5"/>
    </row>
    <row r="110" spans="2:11" ht="15.75" thickBot="1" x14ac:dyDescent="0.3">
      <c r="B110" s="5"/>
      <c r="D110" s="5"/>
      <c r="E110" s="5"/>
      <c r="F110" s="5"/>
      <c r="G110" s="5"/>
      <c r="H110" s="5"/>
      <c r="I110" s="5"/>
      <c r="J110" s="5"/>
      <c r="K110" s="5"/>
    </row>
    <row r="111" spans="2:11" ht="24.75" thickBot="1" x14ac:dyDescent="0.3">
      <c r="B111" s="50" t="s">
        <v>941</v>
      </c>
      <c r="C111" s="96"/>
      <c r="D111" s="5"/>
      <c r="E111" s="5"/>
      <c r="F111" s="5"/>
      <c r="G111" s="5"/>
      <c r="H111" s="5"/>
      <c r="I111" s="5"/>
      <c r="J111" s="5"/>
      <c r="K111" s="5"/>
    </row>
    <row r="112" spans="2:11" ht="15.75" thickBot="1" x14ac:dyDescent="0.3">
      <c r="B112" s="1"/>
      <c r="C112" s="75"/>
      <c r="D112" s="5"/>
      <c r="E112" s="5"/>
      <c r="F112" s="5"/>
      <c r="G112" s="5"/>
      <c r="H112" s="5"/>
      <c r="I112" s="5"/>
      <c r="J112" s="5"/>
      <c r="K112" s="5"/>
    </row>
    <row r="113" spans="2:11" ht="72.75" thickBot="1" x14ac:dyDescent="0.3">
      <c r="B113" s="51" t="s">
        <v>942</v>
      </c>
      <c r="C113" s="97"/>
      <c r="D113" s="43" t="s">
        <v>1968</v>
      </c>
      <c r="E113" s="5"/>
      <c r="F113" s="5"/>
      <c r="G113" s="5"/>
      <c r="H113" s="5"/>
      <c r="I113" s="5"/>
      <c r="J113" s="5"/>
      <c r="K113" s="5"/>
    </row>
    <row r="114" spans="2:11" x14ac:dyDescent="0.25">
      <c r="B114" s="1423" t="s">
        <v>944</v>
      </c>
      <c r="C114" s="93"/>
      <c r="D114" s="52" t="s">
        <v>945</v>
      </c>
      <c r="E114" s="5"/>
      <c r="F114" s="5"/>
      <c r="G114" s="5"/>
      <c r="H114" s="5"/>
      <c r="I114" s="5"/>
      <c r="J114" s="5"/>
      <c r="K114" s="5"/>
    </row>
    <row r="115" spans="2:11" ht="108" x14ac:dyDescent="0.25">
      <c r="B115" s="1424"/>
      <c r="C115" s="93"/>
      <c r="D115" s="45" t="s">
        <v>1969</v>
      </c>
      <c r="E115" s="5"/>
      <c r="F115" s="5"/>
      <c r="G115" s="5"/>
      <c r="H115" s="5"/>
      <c r="I115" s="5"/>
      <c r="J115" s="5"/>
      <c r="K115" s="5"/>
    </row>
    <row r="116" spans="2:11" x14ac:dyDescent="0.25">
      <c r="B116" s="1424"/>
      <c r="C116" s="93"/>
      <c r="D116" s="52" t="s">
        <v>1029</v>
      </c>
      <c r="E116" s="5"/>
      <c r="F116" s="5"/>
      <c r="G116" s="5"/>
      <c r="H116" s="5"/>
      <c r="I116" s="5"/>
      <c r="J116" s="5"/>
      <c r="K116" s="5"/>
    </row>
    <row r="117" spans="2:11" x14ac:dyDescent="0.25">
      <c r="B117" s="1424"/>
      <c r="C117" s="93"/>
      <c r="D117" s="45" t="s">
        <v>1970</v>
      </c>
      <c r="E117" s="5"/>
      <c r="F117" s="5"/>
      <c r="G117" s="5"/>
      <c r="H117" s="5"/>
      <c r="I117" s="5"/>
      <c r="J117" s="5"/>
      <c r="K117" s="5"/>
    </row>
    <row r="118" spans="2:11" ht="48" x14ac:dyDescent="0.25">
      <c r="B118" s="1424"/>
      <c r="C118" s="93"/>
      <c r="D118" s="45" t="s">
        <v>1971</v>
      </c>
      <c r="E118" s="5"/>
      <c r="F118" s="5"/>
      <c r="G118" s="5"/>
      <c r="H118" s="5"/>
      <c r="I118" s="5"/>
      <c r="J118" s="5"/>
      <c r="K118" s="5"/>
    </row>
    <row r="119" spans="2:11" x14ac:dyDescent="0.25">
      <c r="B119" s="1424"/>
      <c r="C119" s="93"/>
      <c r="D119" s="54" t="s">
        <v>1972</v>
      </c>
      <c r="E119" s="5"/>
      <c r="F119" s="5"/>
      <c r="G119" s="5"/>
      <c r="H119" s="5"/>
      <c r="I119" s="5"/>
      <c r="J119" s="5"/>
      <c r="K119" s="5"/>
    </row>
    <row r="120" spans="2:11" ht="15.75" thickBot="1" x14ac:dyDescent="0.3">
      <c r="B120" s="1425"/>
      <c r="C120" s="2"/>
      <c r="D120" s="55" t="s">
        <v>1973</v>
      </c>
      <c r="E120" s="5"/>
      <c r="F120" s="5"/>
      <c r="G120" s="5"/>
      <c r="H120" s="5"/>
      <c r="I120" s="5"/>
      <c r="J120" s="5"/>
      <c r="K120" s="5"/>
    </row>
    <row r="121" spans="2:11" ht="24.75" thickBot="1" x14ac:dyDescent="0.3">
      <c r="B121" s="46" t="s">
        <v>957</v>
      </c>
      <c r="C121" s="2"/>
      <c r="D121" s="40"/>
      <c r="E121" s="5"/>
      <c r="F121" s="5"/>
      <c r="G121" s="5"/>
      <c r="H121" s="5"/>
      <c r="I121" s="5"/>
      <c r="J121" s="5"/>
      <c r="K121" s="5"/>
    </row>
    <row r="122" spans="2:11" ht="72" x14ac:dyDescent="0.25">
      <c r="B122" s="1423" t="s">
        <v>958</v>
      </c>
      <c r="C122" s="93"/>
      <c r="D122" s="45" t="s">
        <v>1974</v>
      </c>
      <c r="E122" s="5"/>
      <c r="F122" s="5"/>
      <c r="G122" s="5"/>
      <c r="H122" s="5"/>
      <c r="I122" s="5"/>
      <c r="J122" s="5"/>
      <c r="K122" s="5"/>
    </row>
    <row r="123" spans="2:11" ht="228" x14ac:dyDescent="0.25">
      <c r="B123" s="1424"/>
      <c r="C123" s="93"/>
      <c r="D123" s="45" t="s">
        <v>1975</v>
      </c>
      <c r="E123" s="5"/>
      <c r="F123" s="5"/>
      <c r="G123" s="5"/>
      <c r="H123" s="5"/>
      <c r="I123" s="5"/>
      <c r="J123" s="5"/>
      <c r="K123" s="5"/>
    </row>
    <row r="124" spans="2:11" ht="84" x14ac:dyDescent="0.25">
      <c r="B124" s="1424"/>
      <c r="C124" s="93"/>
      <c r="D124" s="45" t="s">
        <v>1976</v>
      </c>
      <c r="E124" s="5"/>
      <c r="F124" s="5"/>
      <c r="G124" s="5"/>
      <c r="H124" s="5"/>
      <c r="I124" s="5"/>
      <c r="J124" s="5"/>
      <c r="K124" s="5"/>
    </row>
    <row r="125" spans="2:11" ht="216.75" thickBot="1" x14ac:dyDescent="0.3">
      <c r="B125" s="1425"/>
      <c r="C125" s="2"/>
      <c r="D125" s="40" t="s">
        <v>1977</v>
      </c>
      <c r="E125" s="5"/>
      <c r="F125" s="5"/>
      <c r="G125" s="5"/>
      <c r="H125" s="5"/>
      <c r="I125" s="5"/>
      <c r="J125" s="5"/>
      <c r="K125" s="5"/>
    </row>
    <row r="126" spans="2:11" x14ac:dyDescent="0.25">
      <c r="B126" s="1423" t="s">
        <v>975</v>
      </c>
      <c r="C126" s="93"/>
      <c r="D126" s="45"/>
      <c r="E126" s="5"/>
      <c r="F126" s="5"/>
      <c r="G126" s="5"/>
      <c r="H126" s="5"/>
      <c r="I126" s="5"/>
      <c r="J126" s="5"/>
      <c r="K126" s="5"/>
    </row>
    <row r="127" spans="2:11" x14ac:dyDescent="0.25">
      <c r="B127" s="1424"/>
      <c r="C127" s="93"/>
      <c r="D127" s="16"/>
      <c r="E127" s="5"/>
      <c r="F127" s="5"/>
      <c r="G127" s="5"/>
      <c r="H127" s="5"/>
      <c r="I127" s="5"/>
      <c r="J127" s="5"/>
      <c r="K127" s="5"/>
    </row>
    <row r="128" spans="2:11" x14ac:dyDescent="0.25">
      <c r="B128" s="1424"/>
      <c r="C128" s="93"/>
      <c r="D128" s="45" t="s">
        <v>976</v>
      </c>
      <c r="E128" s="5"/>
      <c r="F128" s="5"/>
      <c r="G128" s="5"/>
      <c r="H128" s="5"/>
      <c r="I128" s="5"/>
      <c r="J128" s="5"/>
      <c r="K128" s="5"/>
    </row>
    <row r="129" spans="2:11" ht="37.5" x14ac:dyDescent="0.25">
      <c r="B129" s="1424"/>
      <c r="C129" s="93"/>
      <c r="D129" s="45" t="s">
        <v>1978</v>
      </c>
      <c r="E129" s="5"/>
      <c r="F129" s="5"/>
      <c r="G129" s="5"/>
      <c r="H129" s="5"/>
      <c r="I129" s="5"/>
      <c r="J129" s="5"/>
      <c r="K129" s="5"/>
    </row>
    <row r="130" spans="2:11" ht="37.5" x14ac:dyDescent="0.25">
      <c r="B130" s="1424"/>
      <c r="C130" s="93"/>
      <c r="D130" s="45" t="s">
        <v>1979</v>
      </c>
      <c r="E130" s="5"/>
      <c r="F130" s="5"/>
      <c r="G130" s="5"/>
      <c r="H130" s="5"/>
      <c r="I130" s="5"/>
      <c r="J130" s="5"/>
      <c r="K130" s="5"/>
    </row>
    <row r="131" spans="2:11" ht="37.5" x14ac:dyDescent="0.25">
      <c r="B131" s="1424"/>
      <c r="C131" s="93"/>
      <c r="D131" s="45" t="s">
        <v>1980</v>
      </c>
      <c r="E131" s="5"/>
      <c r="F131" s="5"/>
      <c r="G131" s="5"/>
      <c r="H131" s="5"/>
      <c r="I131" s="5"/>
      <c r="J131" s="5"/>
      <c r="K131" s="5"/>
    </row>
    <row r="132" spans="2:11" ht="37.5" x14ac:dyDescent="0.25">
      <c r="B132" s="1424"/>
      <c r="C132" s="93"/>
      <c r="D132" s="45" t="s">
        <v>1981</v>
      </c>
      <c r="E132" s="5"/>
      <c r="F132" s="5"/>
      <c r="G132" s="5"/>
      <c r="H132" s="5"/>
      <c r="I132" s="5"/>
      <c r="J132" s="5"/>
      <c r="K132" s="5"/>
    </row>
    <row r="133" spans="2:11" x14ac:dyDescent="0.25">
      <c r="B133" s="1424"/>
      <c r="C133" s="93"/>
      <c r="D133" s="45" t="s">
        <v>1982</v>
      </c>
      <c r="E133" s="5"/>
      <c r="F133" s="5"/>
      <c r="G133" s="5"/>
      <c r="H133" s="5"/>
      <c r="I133" s="5"/>
      <c r="J133" s="5"/>
      <c r="K133" s="5"/>
    </row>
    <row r="134" spans="2:11" x14ac:dyDescent="0.25">
      <c r="B134" s="1424"/>
      <c r="C134" s="93"/>
      <c r="D134" s="45" t="s">
        <v>1983</v>
      </c>
      <c r="E134" s="5"/>
      <c r="F134" s="5"/>
      <c r="G134" s="5"/>
      <c r="H134" s="5"/>
      <c r="I134" s="5"/>
      <c r="J134" s="5"/>
      <c r="K134" s="5"/>
    </row>
    <row r="135" spans="2:11" x14ac:dyDescent="0.25">
      <c r="B135" s="1424"/>
      <c r="C135" s="93"/>
      <c r="D135" s="45" t="s">
        <v>1984</v>
      </c>
      <c r="E135" s="5"/>
      <c r="F135" s="5"/>
      <c r="G135" s="5"/>
      <c r="H135" s="5"/>
      <c r="I135" s="5"/>
      <c r="J135" s="5"/>
      <c r="K135" s="5"/>
    </row>
    <row r="136" spans="2:11" x14ac:dyDescent="0.25">
      <c r="B136" s="1424"/>
      <c r="C136" s="93"/>
      <c r="D136" s="45" t="s">
        <v>984</v>
      </c>
      <c r="E136" s="5"/>
      <c r="F136" s="5"/>
      <c r="G136" s="5"/>
      <c r="H136" s="5"/>
      <c r="I136" s="5"/>
      <c r="J136" s="5"/>
      <c r="K136" s="5"/>
    </row>
    <row r="137" spans="2:11" ht="60.75" thickBot="1" x14ac:dyDescent="0.3">
      <c r="B137" s="1425"/>
      <c r="C137" s="2"/>
      <c r="D137" s="40" t="s">
        <v>1985</v>
      </c>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sheetData>
  <sheetProtection insertColumns="0" insertRows="0"/>
  <mergeCells count="48">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 ref="E18:F18"/>
    <mergeCell ref="D62:M62"/>
    <mergeCell ref="D48:G48"/>
    <mergeCell ref="C59:C60"/>
    <mergeCell ref="D49:M49"/>
    <mergeCell ref="D53:M53"/>
    <mergeCell ref="I18:J18"/>
    <mergeCell ref="C37:C38"/>
    <mergeCell ref="G18:H18"/>
    <mergeCell ref="D21:M21"/>
    <mergeCell ref="C46:C47"/>
    <mergeCell ref="D77:M77"/>
    <mergeCell ref="B114:B120"/>
    <mergeCell ref="B122:B125"/>
    <mergeCell ref="B126:B137"/>
    <mergeCell ref="D82:M82"/>
    <mergeCell ref="D76:M76"/>
    <mergeCell ref="D70:G70"/>
    <mergeCell ref="C68:C69"/>
    <mergeCell ref="D63:M63"/>
    <mergeCell ref="D71:M71"/>
    <mergeCell ref="D72:M72"/>
    <mergeCell ref="B10:D10"/>
    <mergeCell ref="F10:S10"/>
    <mergeCell ref="F11:S11"/>
    <mergeCell ref="E12:R12"/>
    <mergeCell ref="E13:R13"/>
    <mergeCell ref="A1:P1"/>
    <mergeCell ref="A2:P2"/>
    <mergeCell ref="A3:P3"/>
    <mergeCell ref="A4:D4"/>
    <mergeCell ref="A5:P5"/>
  </mergeCells>
  <conditionalFormatting sqref="E81">
    <cfRule type="containsText" dxfId="25" priority="5" operator="containsText" text="ERROR">
      <formula>NOT(ISERROR(SEARCH("ERROR",E81)))</formula>
    </cfRule>
  </conditionalFormatting>
  <conditionalFormatting sqref="F10">
    <cfRule type="notContainsBlanks" dxfId="24" priority="4">
      <formula>LEN(TRIM(F10))&gt;0</formula>
    </cfRule>
  </conditionalFormatting>
  <conditionalFormatting sqref="F11:S11">
    <cfRule type="expression" dxfId="23" priority="2">
      <formula>E11="NO SE REPORTA"</formula>
    </cfRule>
    <cfRule type="expression" dxfId="22" priority="3">
      <formula>E10="NO APLICA"</formula>
    </cfRule>
  </conditionalFormatting>
  <conditionalFormatting sqref="E12:R12">
    <cfRule type="expression" dxfId="2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20:J20 E57:L58 E44:G45 E28:E30 E66:G67 E50:E52 E35:N36">
      <formula1>0</formula1>
    </dataValidation>
    <dataValidation type="decimal" allowBlank="1" showInputMessage="1" showErrorMessage="1" errorTitle="ERROR" error="Escriba un valor entre 0% y 100%" sqref="F79:F80">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119" r:id="rId1" display="http://www.sisaire.gov.co/"/>
    <hyperlink ref="D120"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U183"/>
  <sheetViews>
    <sheetView showGridLines="0" zoomScale="98" zoomScaleNormal="98" workbookViewId="0">
      <selection activeCell="G19" sqref="G19"/>
    </sheetView>
  </sheetViews>
  <sheetFormatPr baseColWidth="10" defaultColWidth="10.7109375" defaultRowHeight="15" x14ac:dyDescent="0.25"/>
  <cols>
    <col min="1" max="1" width="1.85546875" customWidth="1"/>
    <col min="2" max="2" width="12.85546875" customWidth="1"/>
    <col min="3" max="3" width="5.140625" style="86" bestFit="1" customWidth="1"/>
    <col min="4" max="4" width="34.85546875" customWidth="1"/>
    <col min="5" max="5" width="12.140625" customWidth="1"/>
    <col min="11" max="11" width="22"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115</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1" t="s">
        <v>881</v>
      </c>
      <c r="C8" s="210">
        <v>2021</v>
      </c>
      <c r="D8" s="214">
        <f>IF(E10="NO APLICA","NO APLICA",IF(E11="NO SE REPORTA","SIN INFORMACION",+E30))</f>
        <v>0.61111111111111105</v>
      </c>
      <c r="E8" s="211"/>
      <c r="F8" s="5" t="s">
        <v>882</v>
      </c>
      <c r="G8" s="5"/>
      <c r="H8" s="5"/>
      <c r="I8" s="5"/>
      <c r="J8" s="5"/>
      <c r="K8" s="5"/>
    </row>
    <row r="9" spans="1:21" x14ac:dyDescent="0.25">
      <c r="B9" s="356" t="s">
        <v>883</v>
      </c>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58"/>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56"/>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56"/>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56"/>
      <c r="D14" s="5"/>
      <c r="E14" s="5"/>
      <c r="F14" s="5"/>
      <c r="G14" s="5"/>
      <c r="H14" s="5"/>
      <c r="I14" s="5"/>
      <c r="J14" s="5"/>
      <c r="K14" s="5"/>
    </row>
    <row r="15" spans="1:21" x14ac:dyDescent="0.25">
      <c r="B15" s="1423" t="s">
        <v>888</v>
      </c>
      <c r="C15" s="88"/>
      <c r="D15" s="1420" t="s">
        <v>1986</v>
      </c>
      <c r="E15" s="1421"/>
      <c r="F15" s="1421"/>
      <c r="G15" s="1421"/>
      <c r="H15" s="1422"/>
      <c r="I15" s="5"/>
      <c r="J15" s="5"/>
      <c r="K15" s="5"/>
      <c r="L15" s="5"/>
      <c r="M15" s="5"/>
      <c r="N15" s="5"/>
      <c r="O15" s="5"/>
    </row>
    <row r="16" spans="1:21" x14ac:dyDescent="0.25">
      <c r="B16" s="1424"/>
      <c r="C16" s="91"/>
      <c r="D16" s="1411" t="s">
        <v>1987</v>
      </c>
      <c r="E16" s="1412"/>
      <c r="F16" s="1412"/>
      <c r="G16" s="1412"/>
      <c r="H16" s="1413"/>
      <c r="I16" s="5"/>
      <c r="J16" s="5"/>
      <c r="K16" s="5"/>
      <c r="L16" s="5"/>
      <c r="M16" s="5"/>
      <c r="N16" s="5"/>
      <c r="O16" s="5"/>
    </row>
    <row r="17" spans="1:15" ht="15.75" thickBot="1" x14ac:dyDescent="0.3">
      <c r="B17" s="1424"/>
      <c r="C17" s="91"/>
      <c r="D17" s="1438" t="s">
        <v>889</v>
      </c>
      <c r="E17" s="1439"/>
      <c r="F17" s="1439"/>
      <c r="G17" s="1439"/>
      <c r="H17" s="1440"/>
      <c r="I17" s="5"/>
      <c r="J17" s="5"/>
      <c r="K17" s="5"/>
      <c r="L17" s="5"/>
      <c r="M17" s="5"/>
      <c r="N17" s="5"/>
      <c r="O17" s="5"/>
    </row>
    <row r="18" spans="1:15" ht="15.75" thickBot="1" x14ac:dyDescent="0.3">
      <c r="B18" s="1424"/>
      <c r="C18" s="97" t="s">
        <v>842</v>
      </c>
      <c r="D18" s="38" t="s">
        <v>1988</v>
      </c>
      <c r="E18" s="38" t="s">
        <v>1989</v>
      </c>
      <c r="F18" s="38" t="s">
        <v>1990</v>
      </c>
      <c r="G18" s="38" t="s">
        <v>1991</v>
      </c>
      <c r="H18" s="113"/>
      <c r="I18" s="5"/>
      <c r="J18" s="5"/>
      <c r="K18" s="5"/>
      <c r="L18" s="5"/>
      <c r="M18" s="5"/>
      <c r="N18" s="5"/>
      <c r="O18" s="5"/>
    </row>
    <row r="19" spans="1:15" ht="24.75" thickBot="1" x14ac:dyDescent="0.3">
      <c r="B19" s="1424"/>
      <c r="C19" s="2" t="s">
        <v>1017</v>
      </c>
      <c r="D19" s="40" t="s">
        <v>1992</v>
      </c>
      <c r="E19" s="666">
        <v>0</v>
      </c>
      <c r="F19" s="666">
        <v>0</v>
      </c>
      <c r="G19" s="666">
        <v>15</v>
      </c>
      <c r="H19" s="114"/>
      <c r="I19" s="5"/>
      <c r="J19" s="5"/>
      <c r="K19" s="5"/>
      <c r="L19" s="5"/>
      <c r="M19" s="5"/>
      <c r="N19" s="5"/>
      <c r="O19" s="5"/>
    </row>
    <row r="20" spans="1:15" ht="24.75" thickBot="1" x14ac:dyDescent="0.3">
      <c r="B20" s="1424"/>
      <c r="C20" s="2" t="s">
        <v>1019</v>
      </c>
      <c r="D20" s="40" t="s">
        <v>1993</v>
      </c>
      <c r="E20" s="666">
        <v>0</v>
      </c>
      <c r="F20" s="666">
        <v>0</v>
      </c>
      <c r="G20" s="666">
        <v>15</v>
      </c>
      <c r="H20" s="114"/>
      <c r="I20" s="5"/>
      <c r="J20" s="5"/>
      <c r="K20" s="5"/>
      <c r="L20" s="5"/>
      <c r="M20" s="5"/>
      <c r="N20" s="5"/>
      <c r="O20" s="5"/>
    </row>
    <row r="21" spans="1:15" ht="24.75" thickBot="1" x14ac:dyDescent="0.3">
      <c r="B21" s="1424"/>
      <c r="C21" s="2" t="s">
        <v>1021</v>
      </c>
      <c r="D21" s="40" t="s">
        <v>1994</v>
      </c>
      <c r="E21" s="147" t="str">
        <f>IFERROR(E19/E20,"N.A")</f>
        <v>N.A</v>
      </c>
      <c r="F21" s="147" t="str">
        <f>IFERROR(F19/F20,"N.A")</f>
        <v>N.A</v>
      </c>
      <c r="G21" s="147">
        <f>IFERROR(G19/G20,"N.A")</f>
        <v>1</v>
      </c>
      <c r="H21" s="115"/>
      <c r="I21" s="5"/>
      <c r="J21" s="5" t="s">
        <v>1694</v>
      </c>
      <c r="K21" s="5"/>
      <c r="L21" s="5"/>
      <c r="M21" s="5"/>
      <c r="N21" s="5"/>
      <c r="O21" s="5"/>
    </row>
    <row r="22" spans="1:15" x14ac:dyDescent="0.25">
      <c r="B22" s="1424"/>
      <c r="C22" s="91"/>
      <c r="D22" s="1408"/>
      <c r="E22" s="1409"/>
      <c r="F22" s="1409"/>
      <c r="G22" s="1409"/>
      <c r="H22" s="1410"/>
      <c r="I22" s="5"/>
      <c r="J22" s="5"/>
      <c r="K22" s="5"/>
      <c r="L22" s="5"/>
      <c r="M22" s="5"/>
      <c r="N22" s="5"/>
      <c r="O22" s="5"/>
    </row>
    <row r="23" spans="1:15" ht="24" customHeight="1" thickBot="1" x14ac:dyDescent="0.3">
      <c r="B23" s="1424"/>
      <c r="C23" s="91"/>
      <c r="D23" s="1411" t="s">
        <v>1995</v>
      </c>
      <c r="E23" s="1412"/>
      <c r="F23" s="1412"/>
      <c r="G23" s="1412"/>
      <c r="H23" s="1413"/>
      <c r="I23" s="5"/>
      <c r="J23" s="5"/>
      <c r="K23" s="5"/>
      <c r="L23" s="5"/>
      <c r="M23" s="5"/>
      <c r="N23" s="5"/>
      <c r="O23" s="5"/>
    </row>
    <row r="24" spans="1:15" ht="15.75" thickBot="1" x14ac:dyDescent="0.3">
      <c r="B24" s="1424"/>
      <c r="C24" s="97" t="s">
        <v>842</v>
      </c>
      <c r="D24" s="38" t="s">
        <v>1988</v>
      </c>
      <c r="E24" s="38" t="s">
        <v>1996</v>
      </c>
      <c r="F24" s="38" t="s">
        <v>1997</v>
      </c>
      <c r="H24" s="21"/>
      <c r="I24" s="5"/>
      <c r="J24" s="5"/>
      <c r="K24" s="5"/>
      <c r="L24" s="5"/>
      <c r="M24" s="5"/>
      <c r="N24" s="5"/>
      <c r="O24" s="5"/>
    </row>
    <row r="25" spans="1:15" ht="24.75" thickBot="1" x14ac:dyDescent="0.3">
      <c r="B25" s="1424"/>
      <c r="C25" s="2" t="s">
        <v>1017</v>
      </c>
      <c r="D25" s="40" t="s">
        <v>1998</v>
      </c>
      <c r="E25" s="146">
        <v>11</v>
      </c>
      <c r="F25" s="146">
        <v>4</v>
      </c>
      <c r="H25" s="21"/>
      <c r="I25" s="5"/>
      <c r="J25" s="5"/>
      <c r="K25" s="5"/>
      <c r="L25" s="5"/>
      <c r="M25" s="5"/>
      <c r="N25" s="5"/>
      <c r="O25" s="5"/>
    </row>
    <row r="26" spans="1:15" ht="24.75" thickBot="1" x14ac:dyDescent="0.3">
      <c r="B26" s="1424"/>
      <c r="C26" s="2" t="s">
        <v>1019</v>
      </c>
      <c r="D26" s="40" t="s">
        <v>1999</v>
      </c>
      <c r="E26" s="146">
        <v>22</v>
      </c>
      <c r="F26" s="146">
        <v>12</v>
      </c>
      <c r="H26" s="21"/>
      <c r="I26" s="5"/>
      <c r="J26" s="5"/>
      <c r="K26" s="5"/>
      <c r="L26" s="5"/>
      <c r="M26" s="5"/>
      <c r="N26" s="5"/>
      <c r="O26" s="5"/>
    </row>
    <row r="27" spans="1:15" ht="24.75" thickBot="1" x14ac:dyDescent="0.3">
      <c r="B27" s="1424"/>
      <c r="C27" s="2" t="s">
        <v>1021</v>
      </c>
      <c r="D27" s="40" t="s">
        <v>2000</v>
      </c>
      <c r="E27" s="147">
        <f>IFERROR(E25/E26,"N.A.")</f>
        <v>0.5</v>
      </c>
      <c r="F27" s="147">
        <f>IFERROR(F25/F26,"N.A.")</f>
        <v>0.33333333333333331</v>
      </c>
      <c r="H27" s="21"/>
      <c r="I27" s="5"/>
      <c r="J27" s="5" t="s">
        <v>1694</v>
      </c>
      <c r="K27" s="5"/>
    </row>
    <row r="28" spans="1:15" ht="15.75" thickBot="1" x14ac:dyDescent="0.3">
      <c r="B28" s="1425"/>
      <c r="C28" s="2"/>
      <c r="D28" s="124"/>
      <c r="E28" s="124"/>
      <c r="F28" s="124"/>
      <c r="G28" s="124"/>
      <c r="H28" s="23"/>
      <c r="I28" s="5"/>
      <c r="J28" s="5"/>
      <c r="K28" s="5"/>
    </row>
    <row r="29" spans="1:15" ht="15.75" thickBot="1" x14ac:dyDescent="0.3">
      <c r="A29" s="5"/>
      <c r="B29" s="5"/>
      <c r="C29" s="5"/>
      <c r="D29" s="5"/>
      <c r="E29" s="5"/>
      <c r="F29" s="5"/>
      <c r="G29" s="5"/>
      <c r="H29" s="5"/>
      <c r="I29" s="5"/>
      <c r="J29" s="5"/>
      <c r="K29" s="5"/>
    </row>
    <row r="30" spans="1:15" ht="25.7" customHeight="1" thickBot="1" x14ac:dyDescent="0.3">
      <c r="A30" s="5"/>
      <c r="B30" s="5"/>
      <c r="C30" s="5"/>
      <c r="D30" s="51" t="s">
        <v>2001</v>
      </c>
      <c r="E30" s="147">
        <f>AVERAGE(E21:G21,E27:F27)</f>
        <v>0.61111111111111105</v>
      </c>
      <c r="F30" s="305"/>
      <c r="G30" s="305"/>
      <c r="H30" s="63"/>
      <c r="I30" s="5"/>
      <c r="J30" s="5"/>
      <c r="K30" s="5"/>
    </row>
    <row r="31" spans="1:15" x14ac:dyDescent="0.25">
      <c r="A31" s="5"/>
      <c r="B31" s="5"/>
      <c r="C31" s="5"/>
      <c r="D31" s="5"/>
      <c r="E31" s="5"/>
      <c r="F31" s="5"/>
      <c r="G31" s="5"/>
      <c r="H31" s="5"/>
      <c r="I31" s="5"/>
      <c r="J31" s="5"/>
      <c r="K31" s="5"/>
    </row>
    <row r="32" spans="1:15" ht="15.75" thickBot="1" x14ac:dyDescent="0.3">
      <c r="A32" s="5"/>
      <c r="B32" s="5"/>
      <c r="C32" s="5"/>
      <c r="D32" s="5"/>
      <c r="E32" s="5"/>
      <c r="F32" s="5"/>
      <c r="G32" s="5"/>
      <c r="H32" s="5"/>
      <c r="I32" s="5"/>
      <c r="J32" s="5"/>
      <c r="K32" s="5"/>
    </row>
    <row r="33" spans="2:11" ht="36" customHeight="1" thickBot="1" x14ac:dyDescent="0.3">
      <c r="B33" s="51" t="s">
        <v>924</v>
      </c>
      <c r="C33" s="231"/>
      <c r="D33" s="1435" t="s">
        <v>2002</v>
      </c>
      <c r="E33" s="1436"/>
      <c r="F33" s="1436"/>
      <c r="G33" s="1436"/>
      <c r="H33" s="1437"/>
      <c r="I33" s="5"/>
      <c r="J33" s="5"/>
      <c r="K33" s="5"/>
    </row>
    <row r="34" spans="2:11" ht="48" customHeight="1" thickBot="1" x14ac:dyDescent="0.3">
      <c r="B34" s="46" t="s">
        <v>926</v>
      </c>
      <c r="C34" s="92"/>
      <c r="D34" s="1435" t="s">
        <v>2003</v>
      </c>
      <c r="E34" s="1436"/>
      <c r="F34" s="1436"/>
      <c r="G34" s="1436"/>
      <c r="H34" s="1437"/>
      <c r="I34" s="5"/>
      <c r="J34" s="5"/>
      <c r="K34" s="5"/>
    </row>
    <row r="35" spans="2:11" ht="15.75" thickBot="1" x14ac:dyDescent="0.3">
      <c r="B35" s="1"/>
      <c r="C35" s="75"/>
      <c r="D35" s="5"/>
      <c r="E35" s="5"/>
      <c r="F35" s="5"/>
      <c r="G35" s="5"/>
      <c r="H35" s="5"/>
      <c r="I35" s="5"/>
      <c r="J35" s="5"/>
      <c r="K35" s="5"/>
    </row>
    <row r="36" spans="2:11" ht="24" customHeight="1" thickBot="1" x14ac:dyDescent="0.3">
      <c r="B36" s="1426" t="s">
        <v>928</v>
      </c>
      <c r="C36" s="1427"/>
      <c r="D36" s="1427"/>
      <c r="E36" s="1428"/>
      <c r="F36" s="5"/>
      <c r="G36" s="5"/>
      <c r="H36" s="5"/>
      <c r="I36" s="5"/>
      <c r="J36" s="5"/>
      <c r="K36" s="5"/>
    </row>
    <row r="37" spans="2:11" ht="15.75" thickBot="1" x14ac:dyDescent="0.3">
      <c r="B37" s="1423">
        <v>1</v>
      </c>
      <c r="C37" s="93"/>
      <c r="D37" s="47" t="s">
        <v>929</v>
      </c>
      <c r="E37" s="160" t="s">
        <v>2093</v>
      </c>
      <c r="F37" s="5"/>
      <c r="G37" s="5"/>
      <c r="H37" s="5"/>
      <c r="I37" s="5"/>
      <c r="J37" s="5"/>
      <c r="K37" s="5"/>
    </row>
    <row r="38" spans="2:11" ht="15.75" thickBot="1" x14ac:dyDescent="0.3">
      <c r="B38" s="1424"/>
      <c r="C38" s="93"/>
      <c r="D38" s="40" t="s">
        <v>7</v>
      </c>
      <c r="E38" s="160" t="s">
        <v>2098</v>
      </c>
      <c r="F38" s="5"/>
      <c r="G38" s="5"/>
      <c r="H38" s="5"/>
      <c r="I38" s="5"/>
      <c r="J38" s="5"/>
      <c r="K38" s="5"/>
    </row>
    <row r="39" spans="2:11" ht="15.75" thickBot="1" x14ac:dyDescent="0.3">
      <c r="B39" s="1424"/>
      <c r="C39" s="93"/>
      <c r="D39" s="40" t="s">
        <v>930</v>
      </c>
      <c r="E39" s="160" t="s">
        <v>2141</v>
      </c>
      <c r="F39" s="5"/>
      <c r="G39" s="5"/>
      <c r="H39" s="5"/>
      <c r="I39" s="5"/>
      <c r="J39" s="5"/>
      <c r="K39" s="5"/>
    </row>
    <row r="40" spans="2:11" ht="15.75" thickBot="1" x14ac:dyDescent="0.3">
      <c r="B40" s="1424"/>
      <c r="C40" s="93"/>
      <c r="D40" s="40" t="s">
        <v>9</v>
      </c>
      <c r="E40" s="160" t="s">
        <v>2133</v>
      </c>
      <c r="F40" s="5"/>
      <c r="G40" s="5"/>
      <c r="H40" s="5"/>
      <c r="I40" s="5"/>
      <c r="J40" s="5"/>
      <c r="K40" s="5"/>
    </row>
    <row r="41" spans="2:11" ht="15.75" thickBot="1" x14ac:dyDescent="0.3">
      <c r="B41" s="1424"/>
      <c r="C41" s="93"/>
      <c r="D41" s="40" t="s">
        <v>11</v>
      </c>
      <c r="E41" s="160" t="s">
        <v>2142</v>
      </c>
      <c r="F41" s="5"/>
      <c r="G41" s="5"/>
      <c r="H41" s="5"/>
      <c r="I41" s="5"/>
      <c r="J41" s="5"/>
      <c r="K41" s="5"/>
    </row>
    <row r="42" spans="2:11" ht="15.75" thickBot="1" x14ac:dyDescent="0.3">
      <c r="B42" s="1424"/>
      <c r="C42" s="93"/>
      <c r="D42" s="40" t="s">
        <v>13</v>
      </c>
      <c r="E42" s="160">
        <v>6695278</v>
      </c>
      <c r="F42" s="5"/>
      <c r="G42" s="5"/>
      <c r="H42" s="5"/>
      <c r="I42" s="5"/>
      <c r="J42" s="5"/>
      <c r="K42" s="5"/>
    </row>
    <row r="43" spans="2:11" ht="15.75" thickBot="1" x14ac:dyDescent="0.3">
      <c r="B43" s="1425"/>
      <c r="C43" s="2"/>
      <c r="D43" s="40" t="s">
        <v>931</v>
      </c>
      <c r="E43" s="160" t="s">
        <v>2097</v>
      </c>
      <c r="F43" s="5"/>
      <c r="G43" s="5"/>
      <c r="H43" s="5"/>
      <c r="I43" s="5"/>
      <c r="J43" s="5"/>
      <c r="K43" s="5"/>
    </row>
    <row r="44" spans="2:11" ht="15.75" thickBot="1" x14ac:dyDescent="0.3">
      <c r="B44" s="1"/>
      <c r="C44" s="75"/>
      <c r="D44" s="5"/>
      <c r="E44" s="5"/>
      <c r="F44" s="5"/>
      <c r="G44" s="5"/>
      <c r="H44" s="5"/>
      <c r="I44" s="5"/>
      <c r="J44" s="5"/>
      <c r="K44" s="5"/>
    </row>
    <row r="45" spans="2:11" ht="15.75" thickBot="1" x14ac:dyDescent="0.3">
      <c r="B45" s="1426" t="s">
        <v>932</v>
      </c>
      <c r="C45" s="1427"/>
      <c r="D45" s="1427"/>
      <c r="E45" s="1428"/>
      <c r="F45" s="5"/>
      <c r="G45" s="5"/>
      <c r="H45" s="5"/>
      <c r="I45" s="5"/>
      <c r="J45" s="5"/>
      <c r="K45" s="5"/>
    </row>
    <row r="46" spans="2:11" ht="15.75" thickBot="1" x14ac:dyDescent="0.3">
      <c r="B46" s="1423">
        <v>1</v>
      </c>
      <c r="C46" s="93"/>
      <c r="D46" s="47" t="s">
        <v>929</v>
      </c>
      <c r="E46" s="18" t="s">
        <v>933</v>
      </c>
      <c r="F46" s="5"/>
      <c r="G46" s="5"/>
      <c r="H46" s="5"/>
      <c r="I46" s="5"/>
      <c r="J46" s="5"/>
      <c r="K46" s="5"/>
    </row>
    <row r="47" spans="2:11" ht="15.75" thickBot="1" x14ac:dyDescent="0.3">
      <c r="B47" s="1424"/>
      <c r="C47" s="93"/>
      <c r="D47" s="40" t="s">
        <v>7</v>
      </c>
      <c r="E47" s="18" t="s">
        <v>1025</v>
      </c>
      <c r="F47" s="5"/>
      <c r="G47" s="5"/>
      <c r="H47" s="5"/>
      <c r="I47" s="5"/>
      <c r="J47" s="5"/>
      <c r="K47" s="5"/>
    </row>
    <row r="48" spans="2:11" ht="15.75" thickBot="1" x14ac:dyDescent="0.3">
      <c r="B48" s="1424"/>
      <c r="C48" s="93"/>
      <c r="D48" s="40" t="s">
        <v>930</v>
      </c>
      <c r="E48" s="165"/>
      <c r="F48" s="5"/>
      <c r="G48" s="5"/>
      <c r="H48" s="5"/>
      <c r="I48" s="5"/>
      <c r="J48" s="5"/>
      <c r="K48" s="5"/>
    </row>
    <row r="49" spans="2:11" ht="15.75" thickBot="1" x14ac:dyDescent="0.3">
      <c r="B49" s="1424"/>
      <c r="C49" s="93"/>
      <c r="D49" s="40" t="s">
        <v>9</v>
      </c>
      <c r="E49" s="165"/>
      <c r="F49" s="5"/>
      <c r="G49" s="5"/>
      <c r="H49" s="5"/>
      <c r="I49" s="5"/>
      <c r="J49" s="5"/>
      <c r="K49" s="5"/>
    </row>
    <row r="50" spans="2:11" ht="15.75" thickBot="1" x14ac:dyDescent="0.3">
      <c r="B50" s="1424"/>
      <c r="C50" s="93"/>
      <c r="D50" s="40" t="s">
        <v>11</v>
      </c>
      <c r="E50" s="165"/>
      <c r="F50" s="5"/>
      <c r="G50" s="5"/>
      <c r="H50" s="5"/>
      <c r="I50" s="5"/>
      <c r="J50" s="5"/>
      <c r="K50" s="5"/>
    </row>
    <row r="51" spans="2:11" ht="15.75" thickBot="1" x14ac:dyDescent="0.3">
      <c r="B51" s="1424"/>
      <c r="C51" s="93"/>
      <c r="D51" s="40" t="s">
        <v>13</v>
      </c>
      <c r="E51" s="165"/>
      <c r="F51" s="5"/>
      <c r="G51" s="5"/>
      <c r="H51" s="5"/>
      <c r="I51" s="5"/>
      <c r="J51" s="5"/>
      <c r="K51" s="5"/>
    </row>
    <row r="52" spans="2:11" ht="15.75" thickBot="1" x14ac:dyDescent="0.3">
      <c r="B52" s="1425"/>
      <c r="C52" s="2"/>
      <c r="D52" s="40" t="s">
        <v>931</v>
      </c>
      <c r="E52" s="165"/>
      <c r="F52" s="5"/>
      <c r="G52" s="5"/>
      <c r="H52" s="5"/>
      <c r="I52" s="5"/>
      <c r="J52" s="5"/>
      <c r="K52" s="5"/>
    </row>
    <row r="53" spans="2:11" ht="15.75" thickBot="1" x14ac:dyDescent="0.3">
      <c r="B53" s="1"/>
      <c r="C53" s="75"/>
      <c r="D53" s="5"/>
      <c r="E53" s="5"/>
      <c r="F53" s="5"/>
      <c r="G53" s="5"/>
      <c r="H53" s="5"/>
      <c r="I53" s="5"/>
      <c r="J53" s="5"/>
      <c r="K53" s="5"/>
    </row>
    <row r="54" spans="2:11" ht="15" customHeight="1" thickBot="1" x14ac:dyDescent="0.3">
      <c r="B54" s="121" t="s">
        <v>935</v>
      </c>
      <c r="C54" s="122"/>
      <c r="D54" s="122"/>
      <c r="E54" s="123"/>
      <c r="G54" s="5"/>
      <c r="H54" s="5"/>
      <c r="I54" s="5"/>
      <c r="J54" s="5"/>
      <c r="K54" s="5"/>
    </row>
    <row r="55" spans="2:11" ht="24.75" thickBot="1" x14ac:dyDescent="0.3">
      <c r="B55" s="46" t="s">
        <v>936</v>
      </c>
      <c r="C55" s="40" t="s">
        <v>937</v>
      </c>
      <c r="D55" s="40" t="s">
        <v>938</v>
      </c>
      <c r="E55" s="40" t="s">
        <v>939</v>
      </c>
      <c r="F55" s="5"/>
      <c r="G55" s="5"/>
      <c r="H55" s="5"/>
      <c r="I55" s="5"/>
      <c r="J55" s="5"/>
    </row>
    <row r="56" spans="2:11" ht="60.75" thickBot="1" x14ac:dyDescent="0.3">
      <c r="B56" s="48">
        <v>42401</v>
      </c>
      <c r="C56" s="40">
        <v>0.01</v>
      </c>
      <c r="D56" s="49" t="s">
        <v>2004</v>
      </c>
      <c r="E56" s="40"/>
      <c r="F56" s="5"/>
      <c r="G56" s="5"/>
      <c r="H56" s="5"/>
      <c r="I56" s="5"/>
      <c r="J56" s="5"/>
    </row>
    <row r="57" spans="2:11" ht="15.75" thickBot="1" x14ac:dyDescent="0.3">
      <c r="B57" s="3"/>
      <c r="C57" s="94"/>
      <c r="D57" s="5"/>
      <c r="E57" s="5"/>
      <c r="F57" s="5"/>
      <c r="G57" s="5"/>
      <c r="H57" s="5"/>
      <c r="I57" s="5"/>
      <c r="J57" s="5"/>
      <c r="K57" s="5"/>
    </row>
    <row r="58" spans="2:11" ht="15.75" thickBot="1" x14ac:dyDescent="0.3">
      <c r="B58" s="128" t="s">
        <v>846</v>
      </c>
      <c r="C58" s="95"/>
      <c r="D58" s="5"/>
      <c r="E58" s="5"/>
      <c r="F58" s="5"/>
      <c r="G58" s="5"/>
      <c r="H58" s="5"/>
      <c r="I58" s="5"/>
      <c r="J58" s="5"/>
      <c r="K58" s="5"/>
    </row>
    <row r="59" spans="2:11" x14ac:dyDescent="0.25">
      <c r="B59" s="1556"/>
      <c r="C59" s="1557"/>
      <c r="D59" s="1557"/>
      <c r="E59" s="1558"/>
      <c r="F59" s="5"/>
      <c r="G59" s="5"/>
      <c r="H59" s="5"/>
      <c r="I59" s="5"/>
      <c r="J59" s="5"/>
      <c r="K59" s="5"/>
    </row>
    <row r="60" spans="2:11" ht="15.75" thickBot="1" x14ac:dyDescent="0.3">
      <c r="B60" s="1559"/>
      <c r="C60" s="1560"/>
      <c r="D60" s="1560"/>
      <c r="E60" s="1561"/>
      <c r="F60" s="5"/>
      <c r="G60" s="5"/>
      <c r="H60" s="5"/>
      <c r="I60" s="5"/>
      <c r="J60" s="5"/>
      <c r="K60" s="5"/>
    </row>
    <row r="61" spans="2:11" ht="15.75" thickBot="1" x14ac:dyDescent="0.3">
      <c r="B61" s="5"/>
      <c r="D61" s="5"/>
      <c r="E61" s="5"/>
      <c r="F61" s="5"/>
      <c r="G61" s="5"/>
      <c r="H61" s="5"/>
      <c r="I61" s="5"/>
      <c r="J61" s="5"/>
      <c r="K61" s="5"/>
    </row>
    <row r="62" spans="2:11" ht="24.75" thickBot="1" x14ac:dyDescent="0.3">
      <c r="B62" s="50" t="s">
        <v>941</v>
      </c>
      <c r="C62" s="96"/>
      <c r="D62" s="5"/>
      <c r="E62" s="5"/>
      <c r="F62" s="5"/>
      <c r="G62" s="5"/>
      <c r="H62" s="5"/>
      <c r="I62" s="5"/>
      <c r="J62" s="5"/>
      <c r="K62" s="5"/>
    </row>
    <row r="63" spans="2:11" ht="15.75" thickBot="1" x14ac:dyDescent="0.3">
      <c r="B63" s="1"/>
      <c r="C63" s="75"/>
      <c r="D63" s="5"/>
      <c r="E63" s="5"/>
      <c r="F63" s="5"/>
      <c r="G63" s="5"/>
      <c r="H63" s="5"/>
      <c r="I63" s="5"/>
      <c r="J63" s="5"/>
      <c r="K63" s="5"/>
    </row>
    <row r="64" spans="2:11" ht="60.75" thickBot="1" x14ac:dyDescent="0.3">
      <c r="B64" s="51" t="s">
        <v>942</v>
      </c>
      <c r="C64" s="97"/>
      <c r="D64" s="43" t="s">
        <v>2005</v>
      </c>
      <c r="E64" s="5"/>
      <c r="F64" s="5"/>
      <c r="G64" s="5"/>
      <c r="H64" s="5"/>
      <c r="I64" s="5"/>
      <c r="J64" s="5"/>
      <c r="K64" s="5"/>
    </row>
    <row r="65" spans="2:11" x14ac:dyDescent="0.25">
      <c r="B65" s="1423" t="s">
        <v>944</v>
      </c>
      <c r="C65" s="93"/>
      <c r="D65" s="52" t="s">
        <v>945</v>
      </c>
      <c r="E65" s="5"/>
      <c r="F65" s="5"/>
      <c r="G65" s="5"/>
      <c r="H65" s="5"/>
      <c r="I65" s="5"/>
      <c r="J65" s="5"/>
      <c r="K65" s="5"/>
    </row>
    <row r="66" spans="2:11" ht="48" x14ac:dyDescent="0.25">
      <c r="B66" s="1424"/>
      <c r="C66" s="93"/>
      <c r="D66" s="45" t="s">
        <v>2006</v>
      </c>
      <c r="E66" s="5"/>
      <c r="F66" s="5"/>
      <c r="G66" s="5"/>
      <c r="H66" s="5"/>
      <c r="I66" s="5"/>
      <c r="J66" s="5"/>
      <c r="K66" s="5"/>
    </row>
    <row r="67" spans="2:11" x14ac:dyDescent="0.25">
      <c r="B67" s="1424"/>
      <c r="C67" s="93"/>
      <c r="D67" s="52" t="s">
        <v>1029</v>
      </c>
      <c r="E67" s="5"/>
      <c r="F67" s="5"/>
      <c r="G67" s="5"/>
      <c r="H67" s="5"/>
      <c r="I67" s="5"/>
      <c r="J67" s="5"/>
      <c r="K67" s="5"/>
    </row>
    <row r="68" spans="2:11" x14ac:dyDescent="0.25">
      <c r="B68" s="1424"/>
      <c r="C68" s="93"/>
      <c r="D68" s="45" t="s">
        <v>950</v>
      </c>
      <c r="E68" s="5"/>
      <c r="F68" s="5"/>
      <c r="G68" s="5"/>
      <c r="H68" s="5"/>
      <c r="I68" s="5"/>
      <c r="J68" s="5"/>
      <c r="K68" s="5"/>
    </row>
    <row r="69" spans="2:11" x14ac:dyDescent="0.25">
      <c r="B69" s="1424"/>
      <c r="C69" s="93"/>
      <c r="D69" s="45" t="s">
        <v>1970</v>
      </c>
      <c r="E69" s="5"/>
      <c r="F69" s="5"/>
      <c r="G69" s="5"/>
      <c r="H69" s="5"/>
      <c r="I69" s="5"/>
      <c r="J69" s="5"/>
      <c r="K69" s="5"/>
    </row>
    <row r="70" spans="2:11" ht="48" x14ac:dyDescent="0.25">
      <c r="B70" s="1424"/>
      <c r="C70" s="93"/>
      <c r="D70" s="45" t="s">
        <v>1971</v>
      </c>
      <c r="E70" s="5"/>
      <c r="F70" s="5"/>
      <c r="G70" s="5"/>
      <c r="H70" s="5"/>
      <c r="I70" s="5"/>
      <c r="J70" s="5"/>
      <c r="K70" s="5"/>
    </row>
    <row r="71" spans="2:11" ht="24" x14ac:dyDescent="0.25">
      <c r="B71" s="1424"/>
      <c r="C71" s="93"/>
      <c r="D71" s="45" t="s">
        <v>2007</v>
      </c>
      <c r="E71" s="5"/>
      <c r="F71" s="5"/>
      <c r="G71" s="5"/>
      <c r="H71" s="5"/>
      <c r="I71" s="5"/>
      <c r="J71" s="5"/>
      <c r="K71" s="5"/>
    </row>
    <row r="72" spans="2:11" x14ac:dyDescent="0.25">
      <c r="B72" s="1424"/>
      <c r="C72" s="93"/>
      <c r="D72" s="45" t="s">
        <v>2008</v>
      </c>
      <c r="E72" s="5"/>
      <c r="F72" s="5"/>
      <c r="G72" s="5"/>
      <c r="H72" s="5"/>
      <c r="I72" s="5"/>
      <c r="J72" s="5"/>
      <c r="K72" s="5"/>
    </row>
    <row r="73" spans="2:11" x14ac:dyDescent="0.25">
      <c r="B73" s="1424"/>
      <c r="C73" s="93"/>
      <c r="D73" s="52" t="s">
        <v>2009</v>
      </c>
      <c r="E73" s="5"/>
      <c r="F73" s="5"/>
      <c r="G73" s="5"/>
      <c r="H73" s="5"/>
      <c r="I73" s="5"/>
      <c r="J73" s="5"/>
      <c r="K73" s="5"/>
    </row>
    <row r="74" spans="2:11" ht="60" x14ac:dyDescent="0.25">
      <c r="B74" s="1424"/>
      <c r="C74" s="93"/>
      <c r="D74" s="45" t="s">
        <v>2010</v>
      </c>
      <c r="E74" s="5"/>
      <c r="F74" s="5"/>
      <c r="G74" s="5"/>
      <c r="H74" s="5"/>
      <c r="I74" s="5"/>
      <c r="J74" s="5"/>
      <c r="K74" s="5"/>
    </row>
    <row r="75" spans="2:11" x14ac:dyDescent="0.25">
      <c r="B75" s="1424"/>
      <c r="C75" s="93"/>
      <c r="D75" s="54" t="s">
        <v>1972</v>
      </c>
      <c r="E75" s="5"/>
      <c r="F75" s="5"/>
      <c r="G75" s="5"/>
      <c r="H75" s="5"/>
      <c r="I75" s="5"/>
      <c r="J75" s="5"/>
      <c r="K75" s="5"/>
    </row>
    <row r="76" spans="2:11" ht="15.75" thickBot="1" x14ac:dyDescent="0.3">
      <c r="B76" s="1425"/>
      <c r="C76" s="2"/>
      <c r="D76" s="55" t="s">
        <v>1973</v>
      </c>
      <c r="E76" s="5"/>
      <c r="F76" s="5"/>
      <c r="G76" s="5"/>
      <c r="H76" s="5"/>
      <c r="I76" s="5"/>
      <c r="J76" s="5"/>
      <c r="K76" s="5"/>
    </row>
    <row r="77" spans="2:11" ht="24.75" thickBot="1" x14ac:dyDescent="0.3">
      <c r="B77" s="46" t="s">
        <v>957</v>
      </c>
      <c r="C77" s="2"/>
      <c r="D77" s="40" t="s">
        <v>2011</v>
      </c>
      <c r="E77" s="5"/>
      <c r="F77" s="5"/>
      <c r="G77" s="5"/>
      <c r="H77" s="5"/>
      <c r="I77" s="5"/>
      <c r="J77" s="5"/>
      <c r="K77" s="5"/>
    </row>
    <row r="78" spans="2:11" ht="108" x14ac:dyDescent="0.25">
      <c r="B78" s="1423" t="s">
        <v>958</v>
      </c>
      <c r="C78" s="93"/>
      <c r="D78" s="45" t="s">
        <v>2012</v>
      </c>
      <c r="E78" s="5"/>
      <c r="F78" s="5"/>
      <c r="G78" s="5"/>
      <c r="H78" s="5"/>
      <c r="I78" s="5"/>
      <c r="J78" s="5"/>
      <c r="K78" s="5"/>
    </row>
    <row r="79" spans="2:11" ht="204" x14ac:dyDescent="0.25">
      <c r="B79" s="1424"/>
      <c r="C79" s="93"/>
      <c r="D79" s="45" t="s">
        <v>2013</v>
      </c>
      <c r="E79" s="5"/>
      <c r="F79" s="5"/>
      <c r="G79" s="5"/>
      <c r="H79" s="5"/>
      <c r="I79" s="5"/>
      <c r="J79" s="5"/>
      <c r="K79" s="5"/>
    </row>
    <row r="80" spans="2:11" ht="240" x14ac:dyDescent="0.25">
      <c r="B80" s="1424"/>
      <c r="C80" s="93"/>
      <c r="D80" s="45" t="s">
        <v>2014</v>
      </c>
      <c r="E80" s="5"/>
      <c r="F80" s="5"/>
      <c r="G80" s="5"/>
      <c r="H80" s="5"/>
      <c r="I80" s="5"/>
      <c r="J80" s="5"/>
      <c r="K80" s="5"/>
    </row>
    <row r="81" spans="2:11" ht="84" x14ac:dyDescent="0.25">
      <c r="B81" s="1424"/>
      <c r="C81" s="93"/>
      <c r="D81" s="45" t="s">
        <v>2015</v>
      </c>
      <c r="E81" s="5"/>
      <c r="F81" s="5"/>
      <c r="G81" s="5"/>
      <c r="H81" s="5"/>
      <c r="I81" s="5"/>
      <c r="J81" s="5"/>
      <c r="K81" s="5"/>
    </row>
    <row r="82" spans="2:11" ht="216" x14ac:dyDescent="0.25">
      <c r="B82" s="1424"/>
      <c r="C82" s="93"/>
      <c r="D82" s="45" t="s">
        <v>1977</v>
      </c>
      <c r="E82" s="5"/>
      <c r="F82" s="5"/>
      <c r="G82" s="5"/>
      <c r="H82" s="5"/>
      <c r="I82" s="5"/>
      <c r="J82" s="5"/>
      <c r="K82" s="5"/>
    </row>
    <row r="83" spans="2:11" ht="180" x14ac:dyDescent="0.25">
      <c r="B83" s="1424"/>
      <c r="C83" s="93"/>
      <c r="D83" s="45" t="s">
        <v>2016</v>
      </c>
      <c r="E83" s="5"/>
      <c r="F83" s="5"/>
      <c r="G83" s="5"/>
      <c r="H83" s="5"/>
      <c r="I83" s="5"/>
      <c r="J83" s="5"/>
      <c r="K83" s="5"/>
    </row>
    <row r="84" spans="2:11" ht="132.75" thickBot="1" x14ac:dyDescent="0.3">
      <c r="B84" s="1425"/>
      <c r="C84" s="2"/>
      <c r="D84" s="40" t="s">
        <v>2017</v>
      </c>
      <c r="E84" s="5"/>
      <c r="F84" s="5"/>
      <c r="G84" s="5"/>
      <c r="H84" s="5"/>
      <c r="I84" s="5"/>
      <c r="J84" s="5"/>
      <c r="K84" s="5"/>
    </row>
    <row r="85" spans="2:11" ht="24" x14ac:dyDescent="0.25">
      <c r="B85" s="1423" t="s">
        <v>975</v>
      </c>
      <c r="C85" s="93"/>
      <c r="D85" s="56" t="s">
        <v>1986</v>
      </c>
      <c r="E85" s="5"/>
      <c r="F85" s="5"/>
      <c r="G85" s="5"/>
      <c r="H85" s="5"/>
      <c r="I85" s="5"/>
      <c r="J85" s="5"/>
      <c r="K85" s="5"/>
    </row>
    <row r="86" spans="2:11" x14ac:dyDescent="0.25">
      <c r="B86" s="1424"/>
      <c r="C86" s="93"/>
      <c r="D86" s="16"/>
      <c r="E86" s="5"/>
      <c r="F86" s="5"/>
      <c r="G86" s="5"/>
      <c r="H86" s="5"/>
      <c r="I86" s="5"/>
      <c r="J86" s="5"/>
      <c r="K86" s="5"/>
    </row>
    <row r="87" spans="2:11" x14ac:dyDescent="0.25">
      <c r="B87" s="1424"/>
      <c r="C87" s="93"/>
      <c r="D87" s="45" t="s">
        <v>976</v>
      </c>
      <c r="E87" s="5"/>
      <c r="F87" s="5"/>
      <c r="G87" s="5"/>
      <c r="H87" s="5"/>
      <c r="I87" s="5"/>
      <c r="J87" s="5"/>
      <c r="K87" s="5"/>
    </row>
    <row r="88" spans="2:11" ht="37.5" x14ac:dyDescent="0.25">
      <c r="B88" s="1424"/>
      <c r="C88" s="93"/>
      <c r="D88" s="45" t="s">
        <v>2018</v>
      </c>
      <c r="E88" s="5"/>
      <c r="F88" s="5"/>
      <c r="G88" s="5"/>
      <c r="H88" s="5"/>
      <c r="I88" s="5"/>
      <c r="J88" s="5"/>
      <c r="K88" s="5"/>
    </row>
    <row r="89" spans="2:11" ht="37.5" x14ac:dyDescent="0.25">
      <c r="B89" s="1424"/>
      <c r="C89" s="93"/>
      <c r="D89" s="45" t="s">
        <v>2019</v>
      </c>
      <c r="E89" s="5"/>
      <c r="F89" s="5"/>
      <c r="G89" s="5"/>
      <c r="H89" s="5"/>
      <c r="I89" s="5"/>
      <c r="J89" s="5"/>
      <c r="K89" s="5"/>
    </row>
    <row r="90" spans="2:11" x14ac:dyDescent="0.25">
      <c r="B90" s="1424"/>
      <c r="C90" s="93"/>
      <c r="D90" s="45" t="s">
        <v>2020</v>
      </c>
      <c r="E90" s="5"/>
      <c r="F90" s="5"/>
      <c r="G90" s="5"/>
      <c r="H90" s="5"/>
      <c r="I90" s="5"/>
      <c r="J90" s="5"/>
      <c r="K90" s="5"/>
    </row>
    <row r="91" spans="2:11" ht="49.5" x14ac:dyDescent="0.25">
      <c r="B91" s="1424"/>
      <c r="C91" s="93"/>
      <c r="D91" s="45" t="s">
        <v>2021</v>
      </c>
      <c r="E91" s="5"/>
      <c r="F91" s="5"/>
      <c r="G91" s="5"/>
      <c r="H91" s="5"/>
      <c r="I91" s="5"/>
      <c r="J91" s="5"/>
      <c r="K91" s="5"/>
    </row>
    <row r="92" spans="2:11" ht="60" x14ac:dyDescent="0.25">
      <c r="B92" s="1424"/>
      <c r="C92" s="93"/>
      <c r="D92" s="45" t="s">
        <v>2022</v>
      </c>
      <c r="E92" s="5"/>
      <c r="F92" s="5"/>
      <c r="G92" s="5"/>
      <c r="H92" s="5"/>
      <c r="I92" s="5"/>
      <c r="J92" s="5"/>
      <c r="K92" s="5"/>
    </row>
    <row r="93" spans="2:11" ht="48" x14ac:dyDescent="0.25">
      <c r="B93" s="1424"/>
      <c r="C93" s="93"/>
      <c r="D93" s="45" t="s">
        <v>2023</v>
      </c>
      <c r="E93" s="5"/>
      <c r="F93" s="5"/>
      <c r="G93" s="5"/>
      <c r="H93" s="5"/>
      <c r="I93" s="5"/>
      <c r="J93" s="5"/>
      <c r="K93" s="5"/>
    </row>
    <row r="94" spans="2:11" ht="24" x14ac:dyDescent="0.25">
      <c r="B94" s="1424"/>
      <c r="C94" s="93"/>
      <c r="D94" s="52" t="s">
        <v>2024</v>
      </c>
      <c r="E94" s="5"/>
      <c r="F94" s="5"/>
      <c r="G94" s="5"/>
      <c r="H94" s="5"/>
      <c r="I94" s="5"/>
      <c r="J94" s="5"/>
      <c r="K94" s="5"/>
    </row>
    <row r="95" spans="2:11" x14ac:dyDescent="0.25">
      <c r="B95" s="1424"/>
      <c r="C95" s="93"/>
      <c r="D95" s="16"/>
      <c r="E95" s="5"/>
      <c r="F95" s="5"/>
      <c r="G95" s="5"/>
      <c r="H95" s="5"/>
      <c r="I95" s="5"/>
      <c r="J95" s="5"/>
      <c r="K95" s="5"/>
    </row>
    <row r="96" spans="2:11" x14ac:dyDescent="0.25">
      <c r="B96" s="1424"/>
      <c r="C96" s="93"/>
      <c r="D96" s="45" t="s">
        <v>976</v>
      </c>
      <c r="E96" s="5"/>
      <c r="F96" s="5"/>
      <c r="G96" s="5"/>
      <c r="H96" s="5"/>
      <c r="I96" s="5"/>
      <c r="J96" s="5"/>
      <c r="K96" s="5"/>
    </row>
    <row r="97" spans="2:11" ht="37.5" x14ac:dyDescent="0.25">
      <c r="B97" s="1424"/>
      <c r="C97" s="93"/>
      <c r="D97" s="45" t="s">
        <v>2025</v>
      </c>
      <c r="E97" s="5"/>
      <c r="F97" s="5"/>
      <c r="G97" s="5"/>
      <c r="H97" s="5"/>
      <c r="I97" s="5"/>
      <c r="J97" s="5"/>
      <c r="K97" s="5"/>
    </row>
    <row r="98" spans="2:11" ht="25.5" x14ac:dyDescent="0.25">
      <c r="B98" s="1424"/>
      <c r="C98" s="93"/>
      <c r="D98" s="45" t="s">
        <v>2026</v>
      </c>
      <c r="E98" s="5"/>
      <c r="F98" s="5"/>
      <c r="G98" s="5"/>
      <c r="H98" s="5"/>
      <c r="I98" s="5"/>
      <c r="J98" s="5"/>
      <c r="K98" s="5"/>
    </row>
    <row r="99" spans="2:11" ht="37.5" x14ac:dyDescent="0.25">
      <c r="B99" s="1424"/>
      <c r="C99" s="93"/>
      <c r="D99" s="45" t="s">
        <v>2027</v>
      </c>
      <c r="E99" s="5"/>
      <c r="F99" s="5"/>
      <c r="G99" s="5"/>
      <c r="H99" s="5"/>
      <c r="I99" s="5"/>
      <c r="J99" s="5"/>
      <c r="K99" s="5"/>
    </row>
    <row r="100" spans="2:11" x14ac:dyDescent="0.25">
      <c r="B100" s="1424"/>
      <c r="C100" s="93"/>
      <c r="D100" s="57" t="s">
        <v>2028</v>
      </c>
      <c r="E100" s="5"/>
      <c r="F100" s="5"/>
      <c r="G100" s="5"/>
      <c r="H100" s="5"/>
      <c r="I100" s="5"/>
      <c r="J100" s="5"/>
      <c r="K100" s="5"/>
    </row>
    <row r="101" spans="2:11" ht="72" x14ac:dyDescent="0.25">
      <c r="B101" s="1424"/>
      <c r="C101" s="93"/>
      <c r="D101" s="45" t="s">
        <v>2029</v>
      </c>
      <c r="E101" s="5"/>
      <c r="F101" s="5"/>
      <c r="G101" s="5"/>
      <c r="H101" s="5"/>
      <c r="I101" s="5"/>
      <c r="J101" s="5"/>
      <c r="K101" s="5"/>
    </row>
    <row r="102" spans="2:11" ht="36" x14ac:dyDescent="0.25">
      <c r="B102" s="1424"/>
      <c r="C102" s="93"/>
      <c r="D102" s="52" t="s">
        <v>1995</v>
      </c>
      <c r="E102" s="5"/>
      <c r="F102" s="5"/>
      <c r="G102" s="5"/>
      <c r="H102" s="5"/>
      <c r="I102" s="5"/>
      <c r="J102" s="5"/>
      <c r="K102" s="5"/>
    </row>
    <row r="103" spans="2:11" x14ac:dyDescent="0.25">
      <c r="B103" s="1424"/>
      <c r="C103" s="93"/>
      <c r="D103" s="16"/>
      <c r="E103" s="5"/>
      <c r="F103" s="5"/>
      <c r="G103" s="5"/>
      <c r="H103" s="5"/>
      <c r="I103" s="5"/>
      <c r="J103" s="5"/>
      <c r="K103" s="5"/>
    </row>
    <row r="104" spans="2:11" x14ac:dyDescent="0.25">
      <c r="B104" s="1424"/>
      <c r="C104" s="93"/>
      <c r="D104" s="45" t="s">
        <v>976</v>
      </c>
      <c r="E104" s="5"/>
      <c r="F104" s="5"/>
      <c r="G104" s="5"/>
      <c r="H104" s="5"/>
      <c r="I104" s="5"/>
      <c r="J104" s="5"/>
      <c r="K104" s="5"/>
    </row>
    <row r="105" spans="2:11" ht="49.5" x14ac:dyDescent="0.25">
      <c r="B105" s="1424"/>
      <c r="C105" s="93"/>
      <c r="D105" s="45" t="s">
        <v>2030</v>
      </c>
      <c r="E105" s="5"/>
      <c r="F105" s="5"/>
      <c r="G105" s="5"/>
      <c r="H105" s="5"/>
      <c r="I105" s="5"/>
      <c r="J105" s="5"/>
      <c r="K105" s="5"/>
    </row>
    <row r="106" spans="2:11" ht="49.5" x14ac:dyDescent="0.25">
      <c r="B106" s="1424"/>
      <c r="C106" s="93"/>
      <c r="D106" s="45" t="s">
        <v>2031</v>
      </c>
      <c r="E106" s="5"/>
      <c r="F106" s="5"/>
      <c r="G106" s="5"/>
      <c r="H106" s="5"/>
      <c r="I106" s="5"/>
      <c r="J106" s="5"/>
      <c r="K106" s="5"/>
    </row>
    <row r="107" spans="2:11" ht="37.5" x14ac:dyDescent="0.25">
      <c r="B107" s="1424"/>
      <c r="C107" s="93"/>
      <c r="D107" s="45" t="s">
        <v>2032</v>
      </c>
      <c r="E107" s="5"/>
      <c r="F107" s="5"/>
      <c r="G107" s="5"/>
      <c r="H107" s="5"/>
      <c r="I107" s="5"/>
      <c r="J107" s="5"/>
      <c r="K107" s="5"/>
    </row>
    <row r="108" spans="2:11" ht="15.75" thickBot="1" x14ac:dyDescent="0.3">
      <c r="B108" s="1425"/>
      <c r="C108" s="2"/>
      <c r="D108" s="40" t="s">
        <v>2033</v>
      </c>
      <c r="E108" s="5"/>
      <c r="F108" s="5"/>
      <c r="G108" s="5"/>
      <c r="H108" s="5"/>
      <c r="I108" s="5"/>
      <c r="J108" s="5"/>
      <c r="K108" s="5"/>
    </row>
    <row r="109" spans="2:11" x14ac:dyDescent="0.25">
      <c r="B109" s="5"/>
      <c r="D109" s="5"/>
      <c r="E109" s="5"/>
      <c r="F109" s="5"/>
      <c r="G109" s="5"/>
      <c r="H109" s="5"/>
      <c r="I109" s="5"/>
      <c r="J109" s="5"/>
      <c r="K109" s="5"/>
    </row>
    <row r="110" spans="2:11" x14ac:dyDescent="0.25">
      <c r="B110" s="5"/>
      <c r="D110" s="5"/>
      <c r="E110" s="5"/>
      <c r="F110" s="5"/>
      <c r="G110" s="5"/>
      <c r="H110" s="5"/>
      <c r="I110" s="5"/>
      <c r="J110" s="5"/>
      <c r="K110" s="5"/>
    </row>
    <row r="111" spans="2:11" x14ac:dyDescent="0.25">
      <c r="B111" s="5"/>
      <c r="D111" s="5"/>
      <c r="E111" s="5"/>
      <c r="F111" s="5"/>
      <c r="G111" s="5"/>
      <c r="H111" s="5"/>
      <c r="I111" s="5"/>
      <c r="J111" s="5"/>
      <c r="K111" s="5"/>
    </row>
    <row r="112" spans="2:11" x14ac:dyDescent="0.25">
      <c r="B112" s="5"/>
      <c r="D112" s="5"/>
      <c r="E112" s="5"/>
      <c r="F112" s="5"/>
      <c r="G112" s="5"/>
      <c r="H112" s="5"/>
      <c r="I112" s="5"/>
      <c r="J112" s="5"/>
      <c r="K112" s="5"/>
    </row>
    <row r="113" spans="2:11" x14ac:dyDescent="0.25">
      <c r="B113" s="5"/>
      <c r="D113" s="5"/>
      <c r="E113" s="5"/>
      <c r="F113" s="5"/>
      <c r="G113" s="5"/>
      <c r="H113" s="5"/>
      <c r="I113" s="5"/>
      <c r="J113" s="5"/>
      <c r="K113" s="5"/>
    </row>
    <row r="114" spans="2:11" x14ac:dyDescent="0.25">
      <c r="B114" s="5"/>
      <c r="D114" s="5"/>
      <c r="E114" s="5"/>
      <c r="F114" s="5"/>
      <c r="G114" s="5"/>
      <c r="H114" s="5"/>
      <c r="I114" s="5"/>
      <c r="J114" s="5"/>
      <c r="K114" s="5"/>
    </row>
    <row r="115" spans="2:11" x14ac:dyDescent="0.25">
      <c r="B115" s="5"/>
      <c r="D115" s="5"/>
      <c r="E115" s="5"/>
      <c r="F115" s="5"/>
      <c r="G115" s="5"/>
      <c r="H115" s="5"/>
      <c r="I115" s="5"/>
      <c r="J115" s="5"/>
      <c r="K115" s="5"/>
    </row>
    <row r="116" spans="2:11" x14ac:dyDescent="0.25">
      <c r="B116" s="5"/>
      <c r="D116" s="5"/>
      <c r="E116" s="5"/>
      <c r="F116" s="5"/>
      <c r="G116" s="5"/>
      <c r="H116" s="5"/>
      <c r="I116" s="5"/>
      <c r="J116" s="5"/>
      <c r="K116" s="5"/>
    </row>
    <row r="117" spans="2:11" x14ac:dyDescent="0.25">
      <c r="B117" s="5"/>
      <c r="D117" s="5"/>
      <c r="E117" s="5"/>
      <c r="F117" s="5"/>
      <c r="G117" s="5"/>
      <c r="H117" s="5"/>
      <c r="I117" s="5"/>
      <c r="J117" s="5"/>
      <c r="K117" s="5"/>
    </row>
    <row r="118" spans="2:11" x14ac:dyDescent="0.25">
      <c r="B118" s="5"/>
      <c r="D118" s="5"/>
      <c r="E118" s="5"/>
      <c r="F118" s="5"/>
      <c r="G118" s="5"/>
      <c r="H118" s="5"/>
      <c r="I118" s="5"/>
      <c r="J118" s="5"/>
      <c r="K118" s="5"/>
    </row>
    <row r="119" spans="2:11" x14ac:dyDescent="0.25">
      <c r="B119" s="5"/>
      <c r="D119" s="5"/>
      <c r="E119" s="5"/>
      <c r="F119" s="5"/>
      <c r="G119" s="5"/>
      <c r="H119" s="5"/>
      <c r="I119" s="5"/>
      <c r="J119" s="5"/>
      <c r="K119" s="5"/>
    </row>
    <row r="120" spans="2:11" x14ac:dyDescent="0.25">
      <c r="B120" s="5"/>
      <c r="D120" s="5"/>
      <c r="E120" s="5"/>
      <c r="F120" s="5"/>
      <c r="G120" s="5"/>
      <c r="H120" s="5"/>
      <c r="I120" s="5"/>
      <c r="J120" s="5"/>
      <c r="K120" s="5"/>
    </row>
    <row r="121" spans="2:11" x14ac:dyDescent="0.25">
      <c r="B121" s="5"/>
      <c r="D121" s="5"/>
      <c r="E121" s="5"/>
      <c r="F121" s="5"/>
      <c r="G121" s="5"/>
      <c r="H121" s="5"/>
      <c r="I121" s="5"/>
      <c r="J121" s="5"/>
      <c r="K121" s="5"/>
    </row>
    <row r="122" spans="2:11" x14ac:dyDescent="0.25">
      <c r="B122" s="5"/>
      <c r="D122" s="5"/>
      <c r="E122" s="5"/>
      <c r="F122" s="5"/>
      <c r="G122" s="5"/>
      <c r="H122" s="5"/>
      <c r="I122" s="5"/>
      <c r="J122" s="5"/>
      <c r="K122" s="5"/>
    </row>
    <row r="123" spans="2:11" x14ac:dyDescent="0.25">
      <c r="B123" s="5"/>
      <c r="D123" s="5"/>
      <c r="E123" s="5"/>
      <c r="F123" s="5"/>
      <c r="G123" s="5"/>
      <c r="H123" s="5"/>
      <c r="I123" s="5"/>
      <c r="J123" s="5"/>
      <c r="K123" s="5"/>
    </row>
    <row r="124" spans="2:11" x14ac:dyDescent="0.25">
      <c r="B124" s="5"/>
      <c r="D124" s="5"/>
      <c r="E124" s="5"/>
      <c r="F124" s="5"/>
      <c r="G124" s="5"/>
      <c r="H124" s="5"/>
      <c r="I124" s="5"/>
      <c r="J124" s="5"/>
      <c r="K124" s="5"/>
    </row>
    <row r="125" spans="2:11" x14ac:dyDescent="0.25">
      <c r="B125" s="5"/>
      <c r="D125" s="5"/>
      <c r="E125" s="5"/>
      <c r="F125" s="5"/>
      <c r="G125" s="5"/>
      <c r="H125" s="5"/>
      <c r="I125" s="5"/>
      <c r="J125" s="5"/>
      <c r="K125" s="5"/>
    </row>
    <row r="126" spans="2:11" x14ac:dyDescent="0.25">
      <c r="B126" s="5"/>
      <c r="D126" s="5"/>
      <c r="E126" s="5"/>
      <c r="F126" s="5"/>
      <c r="G126" s="5"/>
      <c r="H126" s="5"/>
      <c r="I126" s="5"/>
      <c r="J126" s="5"/>
      <c r="K126" s="5"/>
    </row>
    <row r="127" spans="2:11" x14ac:dyDescent="0.25">
      <c r="B127" s="5"/>
      <c r="D127" s="5"/>
      <c r="E127" s="5"/>
      <c r="F127" s="5"/>
      <c r="G127" s="5"/>
      <c r="H127" s="5"/>
      <c r="I127" s="5"/>
      <c r="J127" s="5"/>
      <c r="K127" s="5"/>
    </row>
    <row r="128" spans="2:11" x14ac:dyDescent="0.25">
      <c r="B128" s="5"/>
      <c r="D128" s="5"/>
      <c r="E128" s="5"/>
      <c r="F128" s="5"/>
      <c r="G128" s="5"/>
      <c r="H128" s="5"/>
      <c r="I128" s="5"/>
      <c r="J128" s="5"/>
      <c r="K128" s="5"/>
    </row>
    <row r="129" spans="2:11" x14ac:dyDescent="0.25">
      <c r="B129" s="5"/>
      <c r="D129" s="5"/>
      <c r="E129" s="5"/>
      <c r="F129" s="5"/>
      <c r="G129" s="5"/>
      <c r="H129" s="5"/>
      <c r="I129" s="5"/>
      <c r="J129" s="5"/>
      <c r="K129" s="5"/>
    </row>
    <row r="130" spans="2:11" x14ac:dyDescent="0.25">
      <c r="B130" s="5"/>
      <c r="D130" s="5"/>
      <c r="E130" s="5"/>
      <c r="F130" s="5"/>
      <c r="G130" s="5"/>
      <c r="H130" s="5"/>
      <c r="I130" s="5"/>
      <c r="J130" s="5"/>
      <c r="K130" s="5"/>
    </row>
    <row r="131" spans="2:11" x14ac:dyDescent="0.25">
      <c r="B131" s="5"/>
      <c r="D131" s="5"/>
      <c r="E131" s="5"/>
      <c r="F131" s="5"/>
      <c r="G131" s="5"/>
      <c r="H131" s="5"/>
      <c r="I131" s="5"/>
      <c r="J131" s="5"/>
      <c r="K131" s="5"/>
    </row>
    <row r="132" spans="2:11" x14ac:dyDescent="0.25">
      <c r="B132" s="5"/>
      <c r="D132" s="5"/>
      <c r="E132" s="5"/>
      <c r="F132" s="5"/>
      <c r="G132" s="5"/>
      <c r="H132" s="5"/>
      <c r="I132" s="5"/>
      <c r="J132" s="5"/>
      <c r="K132" s="5"/>
    </row>
    <row r="133" spans="2:11" x14ac:dyDescent="0.25">
      <c r="B133" s="5"/>
      <c r="D133" s="5"/>
      <c r="E133" s="5"/>
      <c r="F133" s="5"/>
      <c r="G133" s="5"/>
      <c r="H133" s="5"/>
      <c r="I133" s="5"/>
      <c r="J133" s="5"/>
      <c r="K133" s="5"/>
    </row>
    <row r="134" spans="2:11" x14ac:dyDescent="0.25">
      <c r="B134" s="5"/>
      <c r="D134" s="5"/>
      <c r="E134" s="5"/>
      <c r="F134" s="5"/>
      <c r="G134" s="5"/>
      <c r="H134" s="5"/>
      <c r="I134" s="5"/>
      <c r="J134" s="5"/>
      <c r="K134" s="5"/>
    </row>
    <row r="135" spans="2:11" x14ac:dyDescent="0.25">
      <c r="B135" s="5"/>
      <c r="D135" s="5"/>
      <c r="E135" s="5"/>
      <c r="F135" s="5"/>
      <c r="G135" s="5"/>
      <c r="H135" s="5"/>
      <c r="I135" s="5"/>
      <c r="J135" s="5"/>
      <c r="K135" s="5"/>
    </row>
    <row r="136" spans="2:11" x14ac:dyDescent="0.25">
      <c r="B136" s="5"/>
      <c r="D136" s="5"/>
      <c r="E136" s="5"/>
      <c r="F136" s="5"/>
      <c r="G136" s="5"/>
      <c r="H136" s="5"/>
      <c r="I136" s="5"/>
      <c r="J136" s="5"/>
      <c r="K136" s="5"/>
    </row>
    <row r="137" spans="2:11" x14ac:dyDescent="0.25">
      <c r="B137" s="5"/>
      <c r="D137" s="5"/>
      <c r="E137" s="5"/>
      <c r="F137" s="5"/>
      <c r="G137" s="5"/>
      <c r="H137" s="5"/>
      <c r="I137" s="5"/>
      <c r="J137" s="5"/>
      <c r="K137" s="5"/>
    </row>
    <row r="138" spans="2:11" x14ac:dyDescent="0.25">
      <c r="B138" s="5"/>
      <c r="D138" s="5"/>
      <c r="E138" s="5"/>
      <c r="F138" s="5"/>
      <c r="G138" s="5"/>
      <c r="H138" s="5"/>
      <c r="I138" s="5"/>
      <c r="J138" s="5"/>
      <c r="K138" s="5"/>
    </row>
    <row r="139" spans="2:11" x14ac:dyDescent="0.25">
      <c r="B139" s="5"/>
      <c r="D139" s="5"/>
      <c r="E139" s="5"/>
      <c r="F139" s="5"/>
      <c r="G139" s="5"/>
      <c r="H139" s="5"/>
      <c r="I139" s="5"/>
      <c r="J139" s="5"/>
      <c r="K139" s="5"/>
    </row>
    <row r="140" spans="2:11" x14ac:dyDescent="0.25">
      <c r="B140" s="5"/>
      <c r="D140" s="5"/>
      <c r="E140" s="5"/>
      <c r="F140" s="5"/>
      <c r="G140" s="5"/>
      <c r="H140" s="5"/>
      <c r="I140" s="5"/>
      <c r="J140" s="5"/>
      <c r="K140" s="5"/>
    </row>
    <row r="141" spans="2:11" x14ac:dyDescent="0.25">
      <c r="B141" s="5"/>
      <c r="D141" s="5"/>
      <c r="E141" s="5"/>
      <c r="F141" s="5"/>
      <c r="G141" s="5"/>
      <c r="H141" s="5"/>
      <c r="I141" s="5"/>
      <c r="J141" s="5"/>
      <c r="K141" s="5"/>
    </row>
    <row r="142" spans="2:11" x14ac:dyDescent="0.25">
      <c r="B142" s="5"/>
      <c r="D142" s="5"/>
      <c r="E142" s="5"/>
      <c r="F142" s="5"/>
      <c r="G142" s="5"/>
      <c r="H142" s="5"/>
      <c r="I142" s="5"/>
      <c r="J142" s="5"/>
      <c r="K142" s="5"/>
    </row>
    <row r="143" spans="2:11" x14ac:dyDescent="0.25">
      <c r="B143" s="5"/>
      <c r="D143" s="5"/>
      <c r="E143" s="5"/>
      <c r="F143" s="5"/>
      <c r="G143" s="5"/>
      <c r="H143" s="5"/>
      <c r="I143" s="5"/>
      <c r="J143" s="5"/>
      <c r="K143" s="5"/>
    </row>
    <row r="144" spans="2:11" x14ac:dyDescent="0.25">
      <c r="B144" s="5"/>
      <c r="D144" s="5"/>
      <c r="E144" s="5"/>
      <c r="F144" s="5"/>
      <c r="G144" s="5"/>
      <c r="H144" s="5"/>
      <c r="I144" s="5"/>
      <c r="J144" s="5"/>
      <c r="K144" s="5"/>
    </row>
    <row r="145" spans="2:11" x14ac:dyDescent="0.25">
      <c r="B145" s="5"/>
      <c r="D145" s="5"/>
      <c r="E145" s="5"/>
      <c r="F145" s="5"/>
      <c r="G145" s="5"/>
      <c r="H145" s="5"/>
      <c r="I145" s="5"/>
      <c r="J145" s="5"/>
      <c r="K145" s="5"/>
    </row>
    <row r="146" spans="2:11" x14ac:dyDescent="0.25">
      <c r="B146" s="5"/>
      <c r="D146" s="5"/>
      <c r="E146" s="5"/>
      <c r="F146" s="5"/>
      <c r="G146" s="5"/>
      <c r="H146" s="5"/>
      <c r="I146" s="5"/>
      <c r="J146" s="5"/>
      <c r="K146" s="5"/>
    </row>
    <row r="147" spans="2:11" x14ac:dyDescent="0.25">
      <c r="B147" s="5"/>
      <c r="D147" s="5"/>
      <c r="E147" s="5"/>
      <c r="F147" s="5"/>
      <c r="G147" s="5"/>
      <c r="H147" s="5"/>
      <c r="I147" s="5"/>
      <c r="J147" s="5"/>
      <c r="K147" s="5"/>
    </row>
    <row r="148" spans="2:11" x14ac:dyDescent="0.25">
      <c r="B148" s="5"/>
      <c r="D148" s="5"/>
      <c r="E148" s="5"/>
      <c r="F148" s="5"/>
      <c r="G148" s="5"/>
      <c r="H148" s="5"/>
      <c r="I148" s="5"/>
      <c r="J148" s="5"/>
      <c r="K148" s="5"/>
    </row>
    <row r="149" spans="2:11" x14ac:dyDescent="0.25">
      <c r="B149" s="5"/>
      <c r="D149" s="5"/>
      <c r="E149" s="5"/>
      <c r="F149" s="5"/>
      <c r="G149" s="5"/>
      <c r="H149" s="5"/>
      <c r="I149" s="5"/>
      <c r="J149" s="5"/>
      <c r="K149" s="5"/>
    </row>
    <row r="150" spans="2:11" x14ac:dyDescent="0.25">
      <c r="B150" s="5"/>
      <c r="D150" s="5"/>
      <c r="E150" s="5"/>
      <c r="F150" s="5"/>
      <c r="G150" s="5"/>
      <c r="H150" s="5"/>
      <c r="I150" s="5"/>
      <c r="J150" s="5"/>
      <c r="K150" s="5"/>
    </row>
    <row r="151" spans="2:11" x14ac:dyDescent="0.25">
      <c r="B151" s="5"/>
      <c r="D151" s="5"/>
      <c r="E151" s="5"/>
      <c r="F151" s="5"/>
      <c r="G151" s="5"/>
      <c r="H151" s="5"/>
      <c r="I151" s="5"/>
      <c r="J151" s="5"/>
      <c r="K151" s="5"/>
    </row>
    <row r="152" spans="2:11" x14ac:dyDescent="0.25">
      <c r="B152" s="5"/>
      <c r="D152" s="5"/>
      <c r="E152" s="5"/>
      <c r="F152" s="5"/>
      <c r="G152" s="5"/>
      <c r="H152" s="5"/>
      <c r="I152" s="5"/>
      <c r="J152" s="5"/>
      <c r="K152" s="5"/>
    </row>
    <row r="153" spans="2:11" x14ac:dyDescent="0.25">
      <c r="B153" s="5"/>
      <c r="D153" s="5"/>
      <c r="E153" s="5"/>
      <c r="F153" s="5"/>
      <c r="G153" s="5"/>
      <c r="H153" s="5"/>
      <c r="I153" s="5"/>
      <c r="J153" s="5"/>
      <c r="K153" s="5"/>
    </row>
    <row r="154" spans="2:11" x14ac:dyDescent="0.25">
      <c r="B154" s="5"/>
      <c r="D154" s="5"/>
      <c r="E154" s="5"/>
      <c r="F154" s="5"/>
      <c r="G154" s="5"/>
      <c r="H154" s="5"/>
      <c r="I154" s="5"/>
      <c r="J154" s="5"/>
      <c r="K154" s="5"/>
    </row>
    <row r="155" spans="2:11" x14ac:dyDescent="0.25">
      <c r="B155" s="5"/>
      <c r="D155" s="5"/>
      <c r="E155" s="5"/>
      <c r="F155" s="5"/>
      <c r="G155" s="5"/>
      <c r="H155" s="5"/>
      <c r="I155" s="5"/>
      <c r="J155" s="5"/>
      <c r="K155" s="5"/>
    </row>
    <row r="156" spans="2:11" x14ac:dyDescent="0.25">
      <c r="B156" s="5"/>
      <c r="D156" s="5"/>
      <c r="E156" s="5"/>
      <c r="F156" s="5"/>
      <c r="G156" s="5"/>
      <c r="H156" s="5"/>
      <c r="I156" s="5"/>
      <c r="J156" s="5"/>
      <c r="K156" s="5"/>
    </row>
    <row r="157" spans="2:11" x14ac:dyDescent="0.25">
      <c r="B157" s="5"/>
      <c r="D157" s="5"/>
      <c r="E157" s="5"/>
      <c r="F157" s="5"/>
      <c r="G157" s="5"/>
      <c r="H157" s="5"/>
      <c r="I157" s="5"/>
      <c r="J157" s="5"/>
      <c r="K157" s="5"/>
    </row>
    <row r="158" spans="2:11" x14ac:dyDescent="0.25">
      <c r="B158" s="5"/>
      <c r="D158" s="5"/>
      <c r="E158" s="5"/>
      <c r="F158" s="5"/>
      <c r="G158" s="5"/>
      <c r="H158" s="5"/>
      <c r="I158" s="5"/>
      <c r="J158" s="5"/>
      <c r="K158" s="5"/>
    </row>
    <row r="159" spans="2:11" x14ac:dyDescent="0.25">
      <c r="B159" s="5"/>
      <c r="D159" s="5"/>
      <c r="E159" s="5"/>
      <c r="F159" s="5"/>
      <c r="G159" s="5"/>
      <c r="H159" s="5"/>
      <c r="I159" s="5"/>
      <c r="J159" s="5"/>
      <c r="K159" s="5"/>
    </row>
    <row r="160" spans="2:11" x14ac:dyDescent="0.25">
      <c r="B160" s="5"/>
      <c r="D160" s="5"/>
      <c r="E160" s="5"/>
      <c r="F160" s="5"/>
      <c r="G160" s="5"/>
      <c r="H160" s="5"/>
      <c r="I160" s="5"/>
      <c r="J160" s="5"/>
      <c r="K160" s="5"/>
    </row>
    <row r="161" spans="2:11" x14ac:dyDescent="0.25">
      <c r="B161" s="5"/>
      <c r="D161" s="5"/>
      <c r="E161" s="5"/>
      <c r="F161" s="5"/>
      <c r="G161" s="5"/>
      <c r="H161" s="5"/>
      <c r="I161" s="5"/>
      <c r="J161" s="5"/>
      <c r="K161" s="5"/>
    </row>
    <row r="162" spans="2:11" x14ac:dyDescent="0.25">
      <c r="B162" s="5"/>
      <c r="D162" s="5"/>
      <c r="E162" s="5"/>
      <c r="F162" s="5"/>
      <c r="G162" s="5"/>
      <c r="H162" s="5"/>
      <c r="I162" s="5"/>
      <c r="J162" s="5"/>
      <c r="K162" s="5"/>
    </row>
    <row r="163" spans="2:11" x14ac:dyDescent="0.25">
      <c r="B163" s="5"/>
      <c r="D163" s="5"/>
      <c r="E163" s="5"/>
      <c r="F163" s="5"/>
      <c r="G163" s="5"/>
      <c r="H163" s="5"/>
      <c r="I163" s="5"/>
      <c r="J163" s="5"/>
      <c r="K163" s="5"/>
    </row>
    <row r="164" spans="2:11" x14ac:dyDescent="0.25">
      <c r="B164" s="5"/>
      <c r="D164" s="5"/>
      <c r="E164" s="5"/>
      <c r="F164" s="5"/>
      <c r="G164" s="5"/>
      <c r="H164" s="5"/>
      <c r="I164" s="5"/>
      <c r="J164" s="5"/>
      <c r="K164" s="5"/>
    </row>
    <row r="165" spans="2:11" x14ac:dyDescent="0.25">
      <c r="B165" s="5"/>
      <c r="D165" s="5"/>
      <c r="E165" s="5"/>
      <c r="F165" s="5"/>
      <c r="G165" s="5"/>
      <c r="H165" s="5"/>
      <c r="I165" s="5"/>
      <c r="J165" s="5"/>
      <c r="K165" s="5"/>
    </row>
    <row r="166" spans="2:11" x14ac:dyDescent="0.25">
      <c r="B166" s="5"/>
      <c r="D166" s="5"/>
      <c r="E166" s="5"/>
      <c r="F166" s="5"/>
      <c r="G166" s="5"/>
      <c r="H166" s="5"/>
      <c r="I166" s="5"/>
      <c r="J166" s="5"/>
      <c r="K166" s="5"/>
    </row>
    <row r="167" spans="2:11" x14ac:dyDescent="0.25">
      <c r="B167" s="5"/>
      <c r="D167" s="5"/>
      <c r="E167" s="5"/>
      <c r="F167" s="5"/>
      <c r="G167" s="5"/>
      <c r="H167" s="5"/>
      <c r="I167" s="5"/>
      <c r="J167" s="5"/>
      <c r="K167" s="5"/>
    </row>
    <row r="168" spans="2:11" x14ac:dyDescent="0.25">
      <c r="B168" s="5"/>
      <c r="D168" s="5"/>
      <c r="E168" s="5"/>
      <c r="F168" s="5"/>
      <c r="G168" s="5"/>
      <c r="H168" s="5"/>
      <c r="I168" s="5"/>
      <c r="J168" s="5"/>
      <c r="K168" s="5"/>
    </row>
    <row r="169" spans="2:11" x14ac:dyDescent="0.25">
      <c r="B169" s="5"/>
      <c r="D169" s="5"/>
      <c r="E169" s="5"/>
      <c r="F169" s="5"/>
      <c r="G169" s="5"/>
      <c r="H169" s="5"/>
      <c r="I169" s="5"/>
      <c r="J169" s="5"/>
      <c r="K169" s="5"/>
    </row>
    <row r="170" spans="2:11" x14ac:dyDescent="0.25">
      <c r="B170" s="5"/>
      <c r="D170" s="5"/>
      <c r="E170" s="5"/>
      <c r="F170" s="5"/>
      <c r="G170" s="5"/>
      <c r="H170" s="5"/>
      <c r="I170" s="5"/>
      <c r="J170" s="5"/>
      <c r="K170" s="5"/>
    </row>
    <row r="171" spans="2:11" x14ac:dyDescent="0.25">
      <c r="B171" s="5"/>
      <c r="D171" s="5"/>
      <c r="E171" s="5"/>
      <c r="F171" s="5"/>
      <c r="G171" s="5"/>
      <c r="H171" s="5"/>
      <c r="I171" s="5"/>
      <c r="J171" s="5"/>
      <c r="K171" s="5"/>
    </row>
    <row r="172" spans="2:11" x14ac:dyDescent="0.25">
      <c r="B172" s="5"/>
      <c r="D172" s="5"/>
      <c r="E172" s="5"/>
      <c r="F172" s="5"/>
      <c r="G172" s="5"/>
      <c r="H172" s="5"/>
      <c r="I172" s="5"/>
      <c r="J172" s="5"/>
      <c r="K172" s="5"/>
    </row>
    <row r="173" spans="2:11" x14ac:dyDescent="0.25">
      <c r="B173" s="5"/>
      <c r="D173" s="5"/>
      <c r="E173" s="5"/>
      <c r="F173" s="5"/>
      <c r="G173" s="5"/>
      <c r="H173" s="5"/>
      <c r="I173" s="5"/>
      <c r="J173" s="5"/>
      <c r="K173" s="5"/>
    </row>
    <row r="174" spans="2:11" x14ac:dyDescent="0.25">
      <c r="B174" s="5"/>
      <c r="D174" s="5"/>
      <c r="E174" s="5"/>
      <c r="F174" s="5"/>
      <c r="G174" s="5"/>
      <c r="H174" s="5"/>
      <c r="I174" s="5"/>
      <c r="J174" s="5"/>
      <c r="K174" s="5"/>
    </row>
    <row r="175" spans="2:11" x14ac:dyDescent="0.25">
      <c r="B175" s="5"/>
      <c r="D175" s="5"/>
      <c r="E175" s="5"/>
      <c r="F175" s="5"/>
      <c r="G175" s="5"/>
      <c r="H175" s="5"/>
      <c r="I175" s="5"/>
      <c r="J175" s="5"/>
      <c r="K175" s="5"/>
    </row>
    <row r="176" spans="2:11" x14ac:dyDescent="0.25">
      <c r="B176" s="5"/>
      <c r="D176" s="5"/>
      <c r="E176" s="5"/>
      <c r="F176" s="5"/>
      <c r="G176" s="5"/>
      <c r="H176" s="5"/>
      <c r="I176" s="5"/>
      <c r="J176" s="5"/>
      <c r="K176" s="5"/>
    </row>
    <row r="177" spans="2:11" x14ac:dyDescent="0.25">
      <c r="B177" s="5"/>
      <c r="D177" s="5"/>
      <c r="E177" s="5"/>
      <c r="F177" s="5"/>
      <c r="G177" s="5"/>
      <c r="H177" s="5"/>
      <c r="I177" s="5"/>
      <c r="J177" s="5"/>
      <c r="K177" s="5"/>
    </row>
    <row r="178" spans="2:11" x14ac:dyDescent="0.25">
      <c r="B178" s="5"/>
      <c r="D178" s="5"/>
      <c r="E178" s="5"/>
      <c r="F178" s="5"/>
      <c r="G178" s="5"/>
      <c r="H178" s="5"/>
      <c r="I178" s="5"/>
      <c r="J178" s="5"/>
      <c r="K178" s="5"/>
    </row>
    <row r="179" spans="2:11" x14ac:dyDescent="0.25">
      <c r="B179" s="5"/>
      <c r="D179" s="5"/>
      <c r="E179" s="5"/>
      <c r="F179" s="5"/>
      <c r="G179" s="5"/>
      <c r="H179" s="5"/>
      <c r="I179" s="5"/>
      <c r="J179" s="5"/>
      <c r="K179" s="5"/>
    </row>
    <row r="180" spans="2:11" x14ac:dyDescent="0.25">
      <c r="B180" s="5"/>
      <c r="D180" s="5"/>
      <c r="E180" s="5"/>
      <c r="F180" s="5"/>
      <c r="G180" s="5"/>
      <c r="H180" s="5"/>
      <c r="I180" s="5"/>
      <c r="J180" s="5"/>
      <c r="K180" s="5"/>
    </row>
    <row r="181" spans="2:11" x14ac:dyDescent="0.25">
      <c r="B181" s="5"/>
      <c r="D181" s="5"/>
      <c r="E181" s="5"/>
      <c r="F181" s="5"/>
      <c r="G181" s="5"/>
      <c r="H181" s="5"/>
      <c r="I181" s="5"/>
      <c r="J181" s="5"/>
      <c r="K181" s="5"/>
    </row>
    <row r="182" spans="2:11" x14ac:dyDescent="0.25">
      <c r="B182" s="5"/>
      <c r="D182" s="5"/>
      <c r="E182" s="5"/>
      <c r="F182" s="5"/>
      <c r="G182" s="5"/>
      <c r="H182" s="5"/>
      <c r="I182" s="5"/>
      <c r="J182" s="5"/>
      <c r="K182" s="5"/>
    </row>
    <row r="183" spans="2:11" x14ac:dyDescent="0.25">
      <c r="B183" s="5"/>
      <c r="D183" s="5"/>
      <c r="E183" s="5"/>
      <c r="F183" s="5"/>
      <c r="G183" s="5"/>
      <c r="H183" s="5"/>
      <c r="I183" s="5"/>
      <c r="J183" s="5"/>
      <c r="K183" s="5"/>
    </row>
  </sheetData>
  <mergeCells count="26">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 ref="B10:D10"/>
    <mergeCell ref="F10:S10"/>
    <mergeCell ref="F11:S11"/>
    <mergeCell ref="E12:R12"/>
    <mergeCell ref="E13:R13"/>
    <mergeCell ref="A1:P1"/>
    <mergeCell ref="A2:P2"/>
    <mergeCell ref="A3:P3"/>
    <mergeCell ref="A4:D4"/>
    <mergeCell ref="A5:P5"/>
  </mergeCells>
  <conditionalFormatting sqref="F10">
    <cfRule type="notContainsBlanks" dxfId="20" priority="4">
      <formula>LEN(TRIM(F10))&gt;0</formula>
    </cfRule>
  </conditionalFormatting>
  <conditionalFormatting sqref="F11:S11">
    <cfRule type="expression" dxfId="19" priority="2">
      <formula>E11="NO SE REPORTA"</formula>
    </cfRule>
    <cfRule type="expression" dxfId="18" priority="3">
      <formula>E10="NO APLICA"</formula>
    </cfRule>
  </conditionalFormatting>
  <conditionalFormatting sqref="E12:R12">
    <cfRule type="expression" dxfId="1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formula1>0</formula1>
    </dataValidation>
    <dataValidation allowBlank="1" showInputMessage="1" showErrorMessage="1" promptTitle="OJO" prompt="NO TOCAR" sqref="E21:G21 E27:F27"/>
    <dataValidation type="list" allowBlank="1" showInputMessage="1" showErrorMessage="1" sqref="E11">
      <formula1>REPORTE</formula1>
    </dataValidation>
    <dataValidation type="list" allowBlank="1" showInputMessage="1" showErrorMessage="1" sqref="E10">
      <formula1>SI</formula1>
    </dataValidation>
  </dataValidations>
  <hyperlinks>
    <hyperlink ref="D75" r:id="rId1" display="http://www.sisaire.gov.co/"/>
    <hyperlink ref="D76"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7"/>
  <dimension ref="A1:U124"/>
  <sheetViews>
    <sheetView showGridLines="0" topLeftCell="A3" zoomScale="98" zoomScaleNormal="98" workbookViewId="0">
      <selection activeCell="G24" sqref="G24"/>
    </sheetView>
  </sheetViews>
  <sheetFormatPr baseColWidth="10" defaultColWidth="10.7109375" defaultRowHeight="15" x14ac:dyDescent="0.25"/>
  <cols>
    <col min="1" max="1" width="1.85546875" customWidth="1"/>
    <col min="2" max="2" width="11.140625" customWidth="1"/>
    <col min="3" max="3" width="5" style="86" bestFit="1" customWidth="1"/>
    <col min="4" max="4" width="34.85546875" customWidth="1"/>
    <col min="5" max="5" width="12.140625" customWidth="1"/>
    <col min="9" max="9" width="12" bestFit="1" customWidth="1"/>
  </cols>
  <sheetData>
    <row r="1" spans="1:21" s="387" customFormat="1" ht="100.5" customHeight="1" thickBot="1" x14ac:dyDescent="0.3">
      <c r="A1" s="1391"/>
      <c r="B1" s="1392"/>
      <c r="C1" s="1392"/>
      <c r="D1" s="1392"/>
      <c r="E1" s="1392"/>
      <c r="F1" s="1392"/>
      <c r="G1" s="1392"/>
      <c r="H1" s="1392"/>
      <c r="I1" s="1392"/>
      <c r="J1" s="1392"/>
      <c r="K1" s="1392"/>
      <c r="L1" s="1392"/>
      <c r="M1" s="1392"/>
      <c r="N1" s="1392"/>
      <c r="O1" s="1392"/>
      <c r="P1" s="1393"/>
      <c r="Q1"/>
      <c r="R1"/>
    </row>
    <row r="2" spans="1:21" s="388" customFormat="1" ht="16.5" thickBot="1" x14ac:dyDescent="0.3">
      <c r="A2" s="1399" t="str">
        <f>'Datos Generales'!C5</f>
        <v>Corporación Autónoma Regional del Canal del Dique – CARDIQUE</v>
      </c>
      <c r="B2" s="1400"/>
      <c r="C2" s="1400"/>
      <c r="D2" s="1400"/>
      <c r="E2" s="1400"/>
      <c r="F2" s="1400"/>
      <c r="G2" s="1400"/>
      <c r="H2" s="1400"/>
      <c r="I2" s="1400"/>
      <c r="J2" s="1400"/>
      <c r="K2" s="1400"/>
      <c r="L2" s="1400"/>
      <c r="M2" s="1400"/>
      <c r="N2" s="1400"/>
      <c r="O2" s="1400"/>
      <c r="P2" s="1401"/>
      <c r="Q2"/>
      <c r="R2"/>
    </row>
    <row r="3" spans="1:21" s="388" customFormat="1" ht="16.5" thickBot="1" x14ac:dyDescent="0.3">
      <c r="A3" s="1394" t="s">
        <v>841</v>
      </c>
      <c r="B3" s="1395"/>
      <c r="C3" s="1395"/>
      <c r="D3" s="1395"/>
      <c r="E3" s="1395"/>
      <c r="F3" s="1395"/>
      <c r="G3" s="1395"/>
      <c r="H3" s="1395"/>
      <c r="I3" s="1395"/>
      <c r="J3" s="1395"/>
      <c r="K3" s="1395"/>
      <c r="L3" s="1395"/>
      <c r="M3" s="1395"/>
      <c r="N3" s="1395"/>
      <c r="O3" s="1395"/>
      <c r="P3" s="1396"/>
      <c r="Q3"/>
      <c r="R3"/>
    </row>
    <row r="4" spans="1:21" s="388" customFormat="1" ht="16.5" thickBot="1" x14ac:dyDescent="0.3">
      <c r="A4" s="1397" t="s">
        <v>62</v>
      </c>
      <c r="B4" s="1398"/>
      <c r="C4" s="1398"/>
      <c r="D4" s="1398"/>
      <c r="E4" s="405" t="str">
        <f>'Datos Generales'!C6</f>
        <v>2022-II</v>
      </c>
      <c r="F4" s="405"/>
      <c r="G4" s="405"/>
      <c r="H4" s="405"/>
      <c r="I4" s="405"/>
      <c r="J4" s="405"/>
      <c r="K4" s="405"/>
      <c r="L4" s="407"/>
      <c r="M4" s="407"/>
      <c r="N4" s="407"/>
      <c r="O4" s="407"/>
      <c r="P4" s="408"/>
      <c r="Q4"/>
      <c r="R4"/>
    </row>
    <row r="5" spans="1:21" ht="16.5" customHeight="1" thickBot="1" x14ac:dyDescent="0.3">
      <c r="A5" s="1394" t="s">
        <v>116</v>
      </c>
      <c r="B5" s="1395"/>
      <c r="C5" s="1395"/>
      <c r="D5" s="1395"/>
      <c r="E5" s="1395"/>
      <c r="F5" s="1395"/>
      <c r="G5" s="1395"/>
      <c r="H5" s="1395"/>
      <c r="I5" s="1395"/>
      <c r="J5" s="1395"/>
      <c r="K5" s="1395"/>
      <c r="L5" s="1395"/>
      <c r="M5" s="1395"/>
      <c r="N5" s="1395"/>
      <c r="O5" s="1395"/>
      <c r="P5" s="1396"/>
    </row>
    <row r="6" spans="1:21" x14ac:dyDescent="0.25">
      <c r="B6" s="1" t="s">
        <v>878</v>
      </c>
      <c r="C6" s="75"/>
      <c r="D6" s="5"/>
      <c r="E6" s="73"/>
      <c r="F6" s="5" t="s">
        <v>879</v>
      </c>
      <c r="G6" s="5"/>
      <c r="H6" s="5"/>
      <c r="I6" s="5"/>
      <c r="J6" s="5"/>
      <c r="K6" s="5"/>
    </row>
    <row r="7" spans="1:21" ht="15.75" thickBot="1" x14ac:dyDescent="0.3">
      <c r="B7" s="74"/>
      <c r="C7" s="76"/>
      <c r="D7" s="5"/>
      <c r="E7" s="17"/>
      <c r="F7" s="5" t="s">
        <v>880</v>
      </c>
      <c r="G7" s="5"/>
      <c r="H7" s="5"/>
      <c r="I7" s="5"/>
      <c r="J7" s="5"/>
      <c r="K7" s="5"/>
    </row>
    <row r="8" spans="1:21" ht="15.75" thickBot="1" x14ac:dyDescent="0.3">
      <c r="B8" s="170" t="s">
        <v>881</v>
      </c>
      <c r="C8" s="210">
        <v>2021</v>
      </c>
      <c r="D8" s="214">
        <f>IF(E10="NO APLICA","NO APLICA",IF(E11="NO SE REPORTA","SIN INFORMACION",+F42))</f>
        <v>0.99974680833268881</v>
      </c>
      <c r="E8" s="211"/>
      <c r="F8" s="5" t="s">
        <v>882</v>
      </c>
      <c r="G8" s="5"/>
      <c r="H8" s="5"/>
      <c r="I8" s="5"/>
      <c r="J8" s="5"/>
      <c r="K8" s="5"/>
    </row>
    <row r="9" spans="1:21" x14ac:dyDescent="0.25">
      <c r="B9" s="372" t="s">
        <v>883</v>
      </c>
      <c r="C9" s="87"/>
      <c r="D9" s="5"/>
      <c r="E9" s="5"/>
      <c r="F9" s="5"/>
      <c r="G9" s="5"/>
      <c r="H9" s="5"/>
      <c r="I9" s="5"/>
      <c r="J9" s="5"/>
      <c r="K9" s="5"/>
    </row>
    <row r="10" spans="1:21" x14ac:dyDescent="0.25">
      <c r="B10" s="1447" t="s">
        <v>884</v>
      </c>
      <c r="C10" s="1447"/>
      <c r="D10" s="1447"/>
      <c r="E10" s="359" t="s">
        <v>885</v>
      </c>
      <c r="F10" s="1480"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81"/>
      <c r="H10" s="1481"/>
      <c r="I10" s="1481"/>
      <c r="J10" s="1481"/>
      <c r="K10" s="1481"/>
      <c r="L10" s="1481"/>
      <c r="M10" s="1481"/>
      <c r="N10" s="1481"/>
      <c r="O10" s="1481"/>
      <c r="P10" s="1481"/>
      <c r="Q10" s="1481"/>
      <c r="R10" s="1481"/>
      <c r="S10" s="1481"/>
      <c r="T10" s="5"/>
      <c r="U10" s="5"/>
    </row>
    <row r="11" spans="1:21" ht="14.45" customHeight="1" x14ac:dyDescent="0.25">
      <c r="B11" s="373"/>
      <c r="C11" s="87"/>
      <c r="D11" s="171" t="str">
        <f>IF(E10="SI APLICA","¿El indicador no se reporta por limitaciones de información disponible? ","")</f>
        <v xml:space="preserve">¿El indicador no se reporta por limitaciones de información disponible? </v>
      </c>
      <c r="E11" s="360" t="s">
        <v>886</v>
      </c>
      <c r="F11" s="1482"/>
      <c r="G11" s="1483"/>
      <c r="H11" s="1483"/>
      <c r="I11" s="1483"/>
      <c r="J11" s="1483"/>
      <c r="K11" s="1483"/>
      <c r="L11" s="1483"/>
      <c r="M11" s="1483"/>
      <c r="N11" s="1483"/>
      <c r="O11" s="1483"/>
      <c r="P11" s="1483"/>
      <c r="Q11" s="1483"/>
      <c r="R11" s="1483"/>
      <c r="S11" s="1483"/>
    </row>
    <row r="12" spans="1:21" ht="23.45" customHeight="1" x14ac:dyDescent="0.25">
      <c r="B12" s="372"/>
      <c r="C12" s="87"/>
      <c r="D12" s="171" t="str">
        <f>IF(E11="SI SE REPORTA","¿Qué programas o proyectos del Plan de Acción están asociados al indicador? ","")</f>
        <v xml:space="preserve">¿Qué programas o proyectos del Plan de Acción están asociados al indicador? </v>
      </c>
      <c r="E12" s="1484"/>
      <c r="F12" s="1484"/>
      <c r="G12" s="1484"/>
      <c r="H12" s="1484"/>
      <c r="I12" s="1484"/>
      <c r="J12" s="1484"/>
      <c r="K12" s="1484"/>
      <c r="L12" s="1484"/>
      <c r="M12" s="1484"/>
      <c r="N12" s="1484"/>
      <c r="O12" s="1484"/>
      <c r="P12" s="1484"/>
      <c r="Q12" s="1484"/>
      <c r="R12" s="1484"/>
    </row>
    <row r="13" spans="1:21" ht="21.95" customHeight="1" x14ac:dyDescent="0.25">
      <c r="B13" s="372"/>
      <c r="C13" s="87"/>
      <c r="D13" s="171" t="s">
        <v>887</v>
      </c>
      <c r="E13" s="1451"/>
      <c r="F13" s="1452"/>
      <c r="G13" s="1452"/>
      <c r="H13" s="1452"/>
      <c r="I13" s="1452"/>
      <c r="J13" s="1452"/>
      <c r="K13" s="1452"/>
      <c r="L13" s="1452"/>
      <c r="M13" s="1452"/>
      <c r="N13" s="1452"/>
      <c r="O13" s="1452"/>
      <c r="P13" s="1452"/>
      <c r="Q13" s="1452"/>
      <c r="R13" s="1453"/>
    </row>
    <row r="14" spans="1:21" ht="6.95" customHeight="1" thickBot="1" x14ac:dyDescent="0.3">
      <c r="B14" s="372"/>
      <c r="C14" s="87"/>
      <c r="D14" s="5"/>
      <c r="E14" s="5"/>
      <c r="F14" s="5"/>
      <c r="G14" s="5"/>
      <c r="H14" s="5"/>
      <c r="I14" s="5"/>
      <c r="J14" s="5"/>
      <c r="K14" s="5"/>
    </row>
    <row r="15" spans="1:21" ht="15.75" thickBot="1" x14ac:dyDescent="0.3">
      <c r="B15" s="1423" t="s">
        <v>888</v>
      </c>
      <c r="C15" s="88"/>
      <c r="D15" s="1408" t="s">
        <v>1189</v>
      </c>
      <c r="E15" s="1409"/>
      <c r="F15" s="1409"/>
      <c r="G15" s="1409"/>
      <c r="H15" s="1409"/>
      <c r="I15" s="1409"/>
      <c r="J15" s="1409"/>
      <c r="K15" s="1410"/>
      <c r="L15" s="188"/>
      <c r="M15" s="188"/>
      <c r="N15" s="188"/>
      <c r="O15" s="188"/>
      <c r="P15" s="188"/>
      <c r="Q15" s="188"/>
      <c r="R15" s="188"/>
    </row>
    <row r="16" spans="1:21" ht="15.75" thickBot="1" x14ac:dyDescent="0.3">
      <c r="B16" s="1424"/>
      <c r="C16" s="89" t="s">
        <v>842</v>
      </c>
      <c r="D16" s="38" t="s">
        <v>1099</v>
      </c>
      <c r="E16" s="38" t="s">
        <v>909</v>
      </c>
      <c r="F16" s="38" t="s">
        <v>910</v>
      </c>
      <c r="G16" s="38" t="s">
        <v>911</v>
      </c>
      <c r="H16" s="38" t="s">
        <v>912</v>
      </c>
      <c r="I16" s="38" t="s">
        <v>1497</v>
      </c>
      <c r="K16" s="21"/>
      <c r="L16" s="188"/>
      <c r="M16" s="188"/>
      <c r="N16" s="188"/>
      <c r="O16" s="188"/>
      <c r="P16" s="188"/>
      <c r="Q16" s="188"/>
      <c r="R16" s="188"/>
    </row>
    <row r="17" spans="2:18" ht="24.75" thickBot="1" x14ac:dyDescent="0.3">
      <c r="B17" s="1424"/>
      <c r="C17" s="90" t="s">
        <v>1017</v>
      </c>
      <c r="D17" s="40" t="s">
        <v>2034</v>
      </c>
      <c r="E17" s="6">
        <v>3</v>
      </c>
      <c r="F17" s="6">
        <v>3</v>
      </c>
      <c r="G17" s="6">
        <v>3</v>
      </c>
      <c r="H17" s="6"/>
      <c r="I17" s="42">
        <f>SUM(E17:H17)</f>
        <v>9</v>
      </c>
      <c r="K17" s="21"/>
      <c r="L17" s="188"/>
      <c r="M17" s="188"/>
      <c r="N17" s="188"/>
      <c r="O17" s="188"/>
      <c r="P17" s="188"/>
      <c r="Q17" s="188"/>
      <c r="R17" s="188"/>
    </row>
    <row r="18" spans="2:18" ht="15.75" thickBot="1" x14ac:dyDescent="0.3">
      <c r="B18" s="1424"/>
      <c r="C18" s="90" t="s">
        <v>1019</v>
      </c>
      <c r="D18" s="40" t="s">
        <v>1622</v>
      </c>
      <c r="E18" s="186">
        <v>3381842550</v>
      </c>
      <c r="F18" s="186">
        <v>3380000000</v>
      </c>
      <c r="G18" s="186">
        <v>2050000000</v>
      </c>
      <c r="H18" s="186"/>
      <c r="I18" s="134">
        <f>SUM(E18:H18)</f>
        <v>8811842550</v>
      </c>
      <c r="K18" s="21"/>
      <c r="L18" s="188"/>
      <c r="M18" s="188"/>
      <c r="N18" s="188"/>
      <c r="O18" s="188"/>
      <c r="P18" s="188"/>
      <c r="Q18" s="188"/>
      <c r="R18" s="188"/>
    </row>
    <row r="19" spans="2:18" ht="15.75" thickBot="1" x14ac:dyDescent="0.3">
      <c r="B19" s="1424"/>
      <c r="C19" s="90" t="s">
        <v>1021</v>
      </c>
      <c r="D19" s="40" t="s">
        <v>1688</v>
      </c>
      <c r="E19" s="186">
        <v>3381842550</v>
      </c>
      <c r="F19" s="186">
        <v>3380000000</v>
      </c>
      <c r="G19" s="186">
        <v>3180329000</v>
      </c>
      <c r="H19" s="186"/>
      <c r="I19" s="134">
        <f>SUM(E19:H19)</f>
        <v>9942171550</v>
      </c>
      <c r="K19" s="21"/>
      <c r="L19" s="188"/>
      <c r="M19" s="188"/>
      <c r="N19" s="188"/>
      <c r="O19" s="188"/>
      <c r="P19" s="188"/>
      <c r="Q19" s="188"/>
      <c r="R19" s="188"/>
    </row>
    <row r="20" spans="2:18" x14ac:dyDescent="0.25">
      <c r="B20" s="1424"/>
      <c r="C20" s="91"/>
      <c r="D20" s="1414"/>
      <c r="E20" s="1415"/>
      <c r="F20" s="1415"/>
      <c r="G20" s="1415"/>
      <c r="H20" s="1415"/>
      <c r="I20" s="1415"/>
      <c r="J20" s="1415"/>
      <c r="K20" s="1416"/>
      <c r="L20" s="188"/>
      <c r="M20" s="188"/>
      <c r="N20" s="188"/>
      <c r="O20" s="188"/>
      <c r="P20" s="188"/>
      <c r="Q20" s="188"/>
      <c r="R20" s="188"/>
    </row>
    <row r="21" spans="2:18" ht="15.75" thickBot="1" x14ac:dyDescent="0.3">
      <c r="B21" s="1424"/>
      <c r="C21" s="91"/>
      <c r="D21" s="1438" t="s">
        <v>2035</v>
      </c>
      <c r="E21" s="1439"/>
      <c r="F21" s="1439"/>
      <c r="G21" s="1439"/>
      <c r="H21" s="1439"/>
      <c r="I21" s="1439"/>
      <c r="J21" s="1439"/>
      <c r="K21" s="1440"/>
      <c r="L21" s="188"/>
      <c r="M21" s="188"/>
      <c r="N21" s="188"/>
      <c r="O21" s="188"/>
      <c r="P21" s="188"/>
      <c r="Q21" s="188"/>
      <c r="R21" s="188"/>
    </row>
    <row r="22" spans="2:18" ht="15.75" thickBot="1" x14ac:dyDescent="0.3">
      <c r="B22" s="1424"/>
      <c r="C22" s="1485" t="s">
        <v>842</v>
      </c>
      <c r="D22" s="1423" t="s">
        <v>1118</v>
      </c>
      <c r="E22" s="1435" t="s">
        <v>1501</v>
      </c>
      <c r="F22" s="1437"/>
      <c r="G22" s="1435" t="s">
        <v>1569</v>
      </c>
      <c r="H22" s="1436"/>
      <c r="I22" s="1436"/>
      <c r="J22" s="1437"/>
      <c r="K22" s="113"/>
      <c r="L22" s="188"/>
      <c r="M22" s="188"/>
      <c r="N22" s="188"/>
      <c r="O22" s="188"/>
      <c r="P22" s="188"/>
      <c r="Q22" s="188"/>
      <c r="R22" s="188"/>
    </row>
    <row r="23" spans="2:18" ht="36.75" thickBot="1" x14ac:dyDescent="0.3">
      <c r="B23" s="1424"/>
      <c r="C23" s="1486"/>
      <c r="D23" s="1425"/>
      <c r="E23" s="40" t="s">
        <v>1502</v>
      </c>
      <c r="F23" s="43" t="s">
        <v>1503</v>
      </c>
      <c r="G23" s="40" t="s">
        <v>1622</v>
      </c>
      <c r="H23" s="40" t="s">
        <v>1200</v>
      </c>
      <c r="I23" s="40" t="s">
        <v>1122</v>
      </c>
      <c r="J23" s="40" t="s">
        <v>1123</v>
      </c>
      <c r="K23" s="40" t="s">
        <v>846</v>
      </c>
      <c r="L23" s="188"/>
      <c r="M23" s="188"/>
      <c r="N23" s="188"/>
      <c r="O23" s="188"/>
      <c r="P23" s="188"/>
      <c r="Q23" s="188"/>
      <c r="R23" s="188"/>
    </row>
    <row r="24" spans="2:18" ht="24.75" thickBot="1" x14ac:dyDescent="0.3">
      <c r="B24" s="1424"/>
      <c r="C24" s="90">
        <v>1</v>
      </c>
      <c r="D24" s="160" t="s">
        <v>2143</v>
      </c>
      <c r="E24" s="31">
        <v>0.67900000000000005</v>
      </c>
      <c r="F24" s="31">
        <v>1</v>
      </c>
      <c r="G24" s="593">
        <v>700000000</v>
      </c>
      <c r="H24" s="186">
        <f>+'Anexo 1'!AD102</f>
        <v>1349369000</v>
      </c>
      <c r="I24" s="186">
        <v>1348854924</v>
      </c>
      <c r="J24" s="186">
        <f>+'Anexo 1'!AJ102</f>
        <v>774196448</v>
      </c>
      <c r="K24" s="186" t="s">
        <v>2515</v>
      </c>
      <c r="L24" s="188"/>
      <c r="M24" s="188"/>
      <c r="N24" s="188"/>
      <c r="O24" s="188"/>
      <c r="P24" s="188"/>
      <c r="Q24" s="188"/>
      <c r="R24" s="188"/>
    </row>
    <row r="25" spans="2:18" ht="24.75" thickBot="1" x14ac:dyDescent="0.3">
      <c r="B25" s="1424"/>
      <c r="C25" s="90">
        <v>2</v>
      </c>
      <c r="D25" s="160" t="s">
        <v>2144</v>
      </c>
      <c r="E25" s="31">
        <v>0.68300000000000005</v>
      </c>
      <c r="F25" s="31">
        <v>0.8</v>
      </c>
      <c r="G25" s="593">
        <v>500000000</v>
      </c>
      <c r="H25" s="186">
        <f>+'Anexo 1'!AD110</f>
        <v>459000000</v>
      </c>
      <c r="I25" s="186">
        <f>+'Anexo 1'!AG110</f>
        <v>458828000</v>
      </c>
      <c r="J25" s="186">
        <f>+'Anexo 1'!AJ110</f>
        <v>200800000</v>
      </c>
      <c r="K25" s="186" t="s">
        <v>2515</v>
      </c>
      <c r="L25" s="188"/>
      <c r="M25" s="188"/>
      <c r="N25" s="188"/>
      <c r="O25" s="188"/>
      <c r="P25" s="188"/>
      <c r="Q25" s="188"/>
      <c r="R25" s="188"/>
    </row>
    <row r="26" spans="2:18" ht="24.75" thickBot="1" x14ac:dyDescent="0.3">
      <c r="B26" s="1424"/>
      <c r="C26" s="90">
        <v>3</v>
      </c>
      <c r="D26" s="160" t="s">
        <v>2145</v>
      </c>
      <c r="E26" s="31">
        <v>0.71299999999999997</v>
      </c>
      <c r="F26" s="31">
        <v>0.96599999999999997</v>
      </c>
      <c r="G26" s="593">
        <v>850000000</v>
      </c>
      <c r="H26" s="186">
        <f>+'Anexo 1'!AD116</f>
        <v>1371960000</v>
      </c>
      <c r="I26" s="186">
        <f>+'Anexo 1'!AG116</f>
        <v>1371468016</v>
      </c>
      <c r="J26" s="186">
        <f>+'Anexo 1'!AJ116</f>
        <v>1030750576</v>
      </c>
      <c r="K26" s="186" t="s">
        <v>2515</v>
      </c>
      <c r="L26" s="188"/>
      <c r="M26" s="188"/>
      <c r="N26" s="188"/>
      <c r="O26" s="188"/>
      <c r="P26" s="188"/>
      <c r="Q26" s="188"/>
      <c r="R26" s="188"/>
    </row>
    <row r="27" spans="2:18" ht="15.75" thickBot="1" x14ac:dyDescent="0.3">
      <c r="B27" s="1424"/>
      <c r="C27" s="90">
        <v>4</v>
      </c>
      <c r="D27" s="160"/>
      <c r="E27" s="31"/>
      <c r="F27" s="31"/>
      <c r="G27" s="186"/>
      <c r="H27" s="186"/>
      <c r="I27" s="186"/>
      <c r="J27" s="186"/>
      <c r="K27" s="186"/>
      <c r="L27" s="188"/>
      <c r="M27" s="188"/>
      <c r="N27" s="188"/>
      <c r="O27" s="188"/>
      <c r="P27" s="188"/>
      <c r="Q27" s="188"/>
      <c r="R27" s="188"/>
    </row>
    <row r="28" spans="2:18" ht="15.75" thickBot="1" x14ac:dyDescent="0.3">
      <c r="B28" s="1424"/>
      <c r="C28" s="90">
        <v>5</v>
      </c>
      <c r="D28" s="160"/>
      <c r="E28" s="31"/>
      <c r="F28" s="31"/>
      <c r="G28" s="186"/>
      <c r="H28" s="186"/>
      <c r="I28" s="186"/>
      <c r="J28" s="186"/>
      <c r="K28" s="186"/>
      <c r="L28" s="188"/>
      <c r="M28" s="188"/>
      <c r="N28" s="188"/>
      <c r="O28" s="188"/>
      <c r="P28" s="188"/>
      <c r="Q28" s="188"/>
      <c r="R28" s="188"/>
    </row>
    <row r="29" spans="2:18" ht="15.75" thickBot="1" x14ac:dyDescent="0.3">
      <c r="B29" s="1424"/>
      <c r="C29" s="90">
        <v>6</v>
      </c>
      <c r="D29" s="160"/>
      <c r="E29" s="31"/>
      <c r="F29" s="31"/>
      <c r="G29" s="186"/>
      <c r="H29" s="186"/>
      <c r="I29" s="186"/>
      <c r="J29" s="186"/>
      <c r="K29" s="186"/>
      <c r="L29" s="188"/>
      <c r="M29" s="188"/>
      <c r="N29" s="188"/>
      <c r="O29" s="188"/>
      <c r="P29" s="188"/>
      <c r="Q29" s="188"/>
      <c r="R29" s="188"/>
    </row>
    <row r="30" spans="2:18" ht="15.75" thickBot="1" x14ac:dyDescent="0.3">
      <c r="B30" s="1424"/>
      <c r="C30" s="75"/>
      <c r="D30" s="44" t="s">
        <v>1016</v>
      </c>
      <c r="E30" s="1"/>
      <c r="F30" s="1"/>
      <c r="G30" s="135">
        <f>SUM(G24:G29)</f>
        <v>2050000000</v>
      </c>
      <c r="H30" s="135">
        <f>SUM(H24:H29)</f>
        <v>3180329000</v>
      </c>
      <c r="I30" s="135">
        <f>SUM(I24:I29)</f>
        <v>3179150940</v>
      </c>
      <c r="J30" s="135">
        <f>SUM(J24:J29)</f>
        <v>2005747024</v>
      </c>
      <c r="K30" s="186"/>
      <c r="L30" s="188"/>
      <c r="M30" s="188"/>
      <c r="N30" s="188"/>
      <c r="O30" s="188"/>
      <c r="P30" s="188"/>
      <c r="Q30" s="188"/>
      <c r="R30" s="188"/>
    </row>
    <row r="31" spans="2:18" x14ac:dyDescent="0.25">
      <c r="B31" s="1424"/>
      <c r="C31" s="91"/>
      <c r="D31" s="1414" t="s">
        <v>1690</v>
      </c>
      <c r="E31" s="1415"/>
      <c r="F31" s="1415"/>
      <c r="G31" s="1415"/>
      <c r="H31" s="1415"/>
      <c r="I31" s="1415"/>
      <c r="J31" s="1415"/>
      <c r="K31" s="1416"/>
      <c r="L31" s="188"/>
      <c r="M31" s="188"/>
      <c r="N31" s="188"/>
      <c r="O31" s="188"/>
      <c r="P31" s="188"/>
      <c r="Q31" s="188"/>
      <c r="R31" s="188"/>
    </row>
    <row r="32" spans="2:18" ht="15.75" thickBot="1" x14ac:dyDescent="0.3">
      <c r="B32" s="1424"/>
      <c r="C32" s="91"/>
      <c r="D32" s="1414" t="s">
        <v>2036</v>
      </c>
      <c r="E32" s="1415"/>
      <c r="F32" s="1415"/>
      <c r="G32" s="1415"/>
      <c r="H32" s="1415"/>
      <c r="I32" s="1415"/>
      <c r="J32" s="1415"/>
      <c r="K32" s="1416"/>
      <c r="L32" s="188"/>
      <c r="M32" s="188"/>
      <c r="N32" s="188"/>
      <c r="O32" s="188"/>
      <c r="P32" s="188"/>
      <c r="Q32" s="188"/>
      <c r="R32" s="188"/>
    </row>
    <row r="33" spans="2:18" ht="15.75" thickBot="1" x14ac:dyDescent="0.3">
      <c r="B33" s="1424"/>
      <c r="C33" s="1485" t="s">
        <v>842</v>
      </c>
      <c r="D33" s="1628" t="s">
        <v>1573</v>
      </c>
      <c r="E33" s="38" t="s">
        <v>1692</v>
      </c>
      <c r="F33" s="1534" t="s">
        <v>1574</v>
      </c>
      <c r="G33" s="1536"/>
      <c r="H33" s="43"/>
      <c r="I33" s="5"/>
      <c r="K33" s="21"/>
      <c r="L33" s="188"/>
      <c r="M33" s="188"/>
      <c r="N33" s="188"/>
      <c r="O33" s="188"/>
      <c r="P33" s="188"/>
      <c r="Q33" s="188"/>
      <c r="R33" s="188"/>
    </row>
    <row r="34" spans="2:18" x14ac:dyDescent="0.25">
      <c r="B34" s="1424"/>
      <c r="C34" s="1627"/>
      <c r="D34" s="1629"/>
      <c r="E34" s="1423" t="s">
        <v>2037</v>
      </c>
      <c r="F34" s="1423" t="s">
        <v>1575</v>
      </c>
      <c r="G34" s="45" t="s">
        <v>1576</v>
      </c>
      <c r="H34" s="1423" t="s">
        <v>846</v>
      </c>
      <c r="I34" s="5"/>
      <c r="K34" s="21"/>
      <c r="L34" s="188"/>
      <c r="M34" s="188"/>
      <c r="N34" s="188"/>
      <c r="O34" s="188"/>
      <c r="P34" s="188"/>
      <c r="Q34" s="188"/>
      <c r="R34" s="188"/>
    </row>
    <row r="35" spans="2:18" ht="24.75" thickBot="1" x14ac:dyDescent="0.3">
      <c r="B35" s="1424"/>
      <c r="C35" s="1486"/>
      <c r="D35" s="1630"/>
      <c r="E35" s="1425"/>
      <c r="F35" s="1425"/>
      <c r="G35" s="40" t="s">
        <v>1570</v>
      </c>
      <c r="H35" s="1425"/>
      <c r="I35" s="5"/>
      <c r="K35" s="21"/>
      <c r="L35" s="188"/>
      <c r="M35" s="188"/>
      <c r="N35" s="188"/>
      <c r="O35" s="188"/>
      <c r="P35" s="188"/>
      <c r="Q35" s="188"/>
      <c r="R35" s="188"/>
    </row>
    <row r="36" spans="2:18" ht="15.75" thickBot="1" x14ac:dyDescent="0.3">
      <c r="B36" s="1424"/>
      <c r="C36" s="2">
        <v>1</v>
      </c>
      <c r="D36" s="157">
        <v>0.34</v>
      </c>
      <c r="E36" s="262">
        <v>1</v>
      </c>
      <c r="F36" s="374">
        <f>IFERROR(I24/H24,0)</f>
        <v>0.99961902489237564</v>
      </c>
      <c r="G36" s="374">
        <f>IFERROR(J24/I24,0)</f>
        <v>0.57396569062011293</v>
      </c>
      <c r="H36" s="30"/>
      <c r="I36" s="5"/>
      <c r="J36" s="375"/>
      <c r="K36" s="21"/>
      <c r="L36" s="188"/>
      <c r="M36" s="188"/>
      <c r="N36" s="188"/>
      <c r="O36" s="188"/>
      <c r="P36" s="188"/>
      <c r="Q36" s="188"/>
      <c r="R36" s="188"/>
    </row>
    <row r="37" spans="2:18" ht="15.75" thickBot="1" x14ac:dyDescent="0.3">
      <c r="B37" s="1424"/>
      <c r="C37" s="2">
        <v>2</v>
      </c>
      <c r="D37" s="157">
        <v>0.33</v>
      </c>
      <c r="E37" s="262">
        <v>1</v>
      </c>
      <c r="F37" s="374">
        <f>IFERROR(I25/H25,0)</f>
        <v>0.99962527233115472</v>
      </c>
      <c r="G37" s="374">
        <f t="shared" ref="G37:G42" si="0">IFERROR(J25/I25,0)</f>
        <v>0.43763676148796499</v>
      </c>
      <c r="H37" s="30"/>
      <c r="I37" s="5"/>
      <c r="K37" s="21"/>
      <c r="L37" s="188"/>
      <c r="M37" s="188"/>
      <c r="N37" s="188"/>
      <c r="O37" s="188"/>
      <c r="P37" s="188"/>
      <c r="Q37" s="188"/>
      <c r="R37" s="188"/>
    </row>
    <row r="38" spans="2:18" ht="15.75" thickBot="1" x14ac:dyDescent="0.3">
      <c r="B38" s="1424"/>
      <c r="C38" s="2">
        <v>3</v>
      </c>
      <c r="D38" s="157">
        <v>0.33</v>
      </c>
      <c r="E38" s="262">
        <v>1</v>
      </c>
      <c r="F38" s="374">
        <v>1</v>
      </c>
      <c r="G38" s="374">
        <f t="shared" si="0"/>
        <v>0.75156734533720249</v>
      </c>
      <c r="H38" s="30"/>
      <c r="I38" s="5"/>
      <c r="K38" s="21"/>
      <c r="L38" s="188"/>
      <c r="M38" s="188"/>
      <c r="N38" s="188"/>
      <c r="O38" s="188"/>
      <c r="P38" s="188"/>
      <c r="Q38" s="188"/>
      <c r="R38" s="188"/>
    </row>
    <row r="39" spans="2:18" ht="15.75" thickBot="1" x14ac:dyDescent="0.3">
      <c r="B39" s="1424"/>
      <c r="C39" s="2">
        <v>4</v>
      </c>
      <c r="D39" s="157"/>
      <c r="E39" s="262">
        <f>+F27</f>
        <v>0</v>
      </c>
      <c r="F39" s="374">
        <f>IFERROR(I27/H27,0)</f>
        <v>0</v>
      </c>
      <c r="G39" s="374">
        <f t="shared" si="0"/>
        <v>0</v>
      </c>
      <c r="H39" s="30"/>
      <c r="I39" s="5"/>
      <c r="K39" s="21"/>
      <c r="L39" s="188"/>
      <c r="M39" s="188"/>
      <c r="N39" s="188"/>
      <c r="O39" s="188"/>
      <c r="P39" s="188"/>
      <c r="Q39" s="188"/>
      <c r="R39" s="188"/>
    </row>
    <row r="40" spans="2:18" ht="15.75" thickBot="1" x14ac:dyDescent="0.3">
      <c r="B40" s="1424"/>
      <c r="C40" s="2">
        <v>5</v>
      </c>
      <c r="D40" s="157"/>
      <c r="E40" s="262">
        <f>+F28</f>
        <v>0</v>
      </c>
      <c r="F40" s="374">
        <f>IFERROR(I28/H28,0)</f>
        <v>0</v>
      </c>
      <c r="G40" s="374">
        <f t="shared" si="0"/>
        <v>0</v>
      </c>
      <c r="H40" s="30"/>
      <c r="I40" s="5"/>
      <c r="K40" s="21"/>
      <c r="L40" s="188"/>
      <c r="M40" s="188"/>
      <c r="N40" s="188"/>
      <c r="O40" s="188"/>
      <c r="P40" s="188"/>
      <c r="Q40" s="188"/>
      <c r="R40" s="188"/>
    </row>
    <row r="41" spans="2:18" ht="15.75" thickBot="1" x14ac:dyDescent="0.3">
      <c r="B41" s="1424"/>
      <c r="C41" s="2">
        <v>6</v>
      </c>
      <c r="D41" s="157"/>
      <c r="E41" s="262">
        <f>+F29</f>
        <v>0</v>
      </c>
      <c r="F41" s="374">
        <f>IFERROR(I29/H29,0)</f>
        <v>0</v>
      </c>
      <c r="G41" s="374">
        <f t="shared" si="0"/>
        <v>0</v>
      </c>
      <c r="H41" s="30"/>
      <c r="I41" s="5"/>
      <c r="K41" s="21"/>
      <c r="L41" s="188"/>
      <c r="M41" s="188"/>
      <c r="N41" s="188"/>
      <c r="O41" s="188"/>
      <c r="P41" s="188"/>
      <c r="Q41" s="188"/>
      <c r="R41" s="188"/>
    </row>
    <row r="42" spans="2:18" ht="15.75" thickBot="1" x14ac:dyDescent="0.3">
      <c r="B42" s="1425"/>
      <c r="C42" s="2"/>
      <c r="D42" s="158">
        <f>+Formulas!D31</f>
        <v>1</v>
      </c>
      <c r="E42" s="376">
        <f>+D36*E36+D37*E37+D38*E38+D39*E39+D40*E40+D41*E41</f>
        <v>1</v>
      </c>
      <c r="F42" s="376">
        <f>+D36*F36+D37*F37+D38*F38+D39*F39+D40*F40+D41*F41</f>
        <v>0.99974680833268881</v>
      </c>
      <c r="G42" s="374">
        <f t="shared" si="0"/>
        <v>0.63090650989977848</v>
      </c>
      <c r="H42" s="30"/>
      <c r="I42" s="22"/>
      <c r="K42" s="23"/>
      <c r="L42" s="188"/>
      <c r="M42" s="188" t="s">
        <v>1694</v>
      </c>
      <c r="N42" s="188"/>
      <c r="O42" s="188"/>
      <c r="P42" s="188"/>
      <c r="Q42" s="188"/>
      <c r="R42" s="188"/>
    </row>
    <row r="43" spans="2:18" ht="24" customHeight="1" thickBot="1" x14ac:dyDescent="0.3">
      <c r="B43" s="179" t="s">
        <v>924</v>
      </c>
      <c r="C43" s="85"/>
      <c r="D43" s="1621" t="s">
        <v>2038</v>
      </c>
      <c r="E43" s="1622"/>
      <c r="F43" s="1622"/>
      <c r="G43" s="1622"/>
      <c r="H43" s="1622"/>
      <c r="I43" s="1622"/>
      <c r="J43" s="1622"/>
      <c r="K43" s="1623"/>
      <c r="L43" s="188"/>
      <c r="M43" s="188"/>
      <c r="N43" s="188"/>
      <c r="O43" s="188"/>
      <c r="P43" s="188"/>
      <c r="Q43" s="188"/>
      <c r="R43" s="188"/>
    </row>
    <row r="44" spans="2:18" ht="36.75" thickBot="1" x14ac:dyDescent="0.3">
      <c r="B44" s="179" t="s">
        <v>926</v>
      </c>
      <c r="C44" s="85"/>
      <c r="D44" s="1621" t="s">
        <v>1202</v>
      </c>
      <c r="E44" s="1622"/>
      <c r="F44" s="1622"/>
      <c r="G44" s="1622"/>
      <c r="H44" s="1622"/>
      <c r="I44" s="1622"/>
      <c r="J44" s="1622"/>
      <c r="K44" s="1623"/>
      <c r="L44" s="188"/>
      <c r="M44" s="188"/>
      <c r="N44" s="188"/>
      <c r="O44" s="188"/>
      <c r="P44" s="188"/>
      <c r="Q44" s="188"/>
      <c r="R44" s="188"/>
    </row>
    <row r="45" spans="2:18" ht="15.75" thickBot="1" x14ac:dyDescent="0.3">
      <c r="B45" s="7"/>
      <c r="C45" s="80"/>
      <c r="D45" s="18"/>
      <c r="E45" s="18"/>
      <c r="F45" s="18"/>
      <c r="G45" s="18"/>
      <c r="H45" s="18"/>
      <c r="I45" s="18"/>
      <c r="J45" s="18"/>
      <c r="K45" s="18"/>
      <c r="L45" s="188"/>
      <c r="M45" s="188"/>
      <c r="N45" s="188"/>
      <c r="O45" s="188"/>
      <c r="P45" s="188"/>
      <c r="Q45" s="188"/>
      <c r="R45" s="188"/>
    </row>
    <row r="46" spans="2:18" ht="24" customHeight="1" thickBot="1" x14ac:dyDescent="0.3">
      <c r="B46" s="1624" t="s">
        <v>928</v>
      </c>
      <c r="C46" s="1625"/>
      <c r="D46" s="1625"/>
      <c r="E46" s="1626"/>
      <c r="F46" s="18"/>
      <c r="G46" s="18"/>
      <c r="H46" s="18"/>
      <c r="I46" s="18"/>
      <c r="J46" s="18"/>
      <c r="K46" s="18"/>
      <c r="L46" s="188"/>
      <c r="M46" s="188"/>
      <c r="N46" s="188"/>
      <c r="O46" s="188"/>
      <c r="P46" s="188"/>
      <c r="Q46" s="188"/>
      <c r="R46" s="188"/>
    </row>
    <row r="47" spans="2:18" ht="15.75" thickBot="1" x14ac:dyDescent="0.3">
      <c r="B47" s="1618">
        <v>1</v>
      </c>
      <c r="C47" s="81"/>
      <c r="D47" s="33" t="s">
        <v>929</v>
      </c>
      <c r="E47" s="160" t="s">
        <v>2093</v>
      </c>
      <c r="F47" s="18"/>
      <c r="G47" s="18"/>
      <c r="H47" s="18"/>
      <c r="I47" s="18"/>
      <c r="J47" s="18"/>
      <c r="K47" s="18"/>
      <c r="L47" s="188"/>
      <c r="M47" s="188"/>
      <c r="N47" s="188"/>
      <c r="O47" s="188"/>
      <c r="P47" s="188"/>
      <c r="Q47" s="188"/>
      <c r="R47" s="188"/>
    </row>
    <row r="48" spans="2:18" ht="15.75" thickBot="1" x14ac:dyDescent="0.3">
      <c r="B48" s="1619"/>
      <c r="C48" s="81"/>
      <c r="D48" s="181" t="s">
        <v>7</v>
      </c>
      <c r="E48" s="160" t="s">
        <v>2098</v>
      </c>
      <c r="F48" s="18"/>
      <c r="G48" s="18"/>
      <c r="H48" s="18"/>
      <c r="I48" s="18"/>
      <c r="J48" s="18"/>
      <c r="K48" s="18"/>
      <c r="L48" s="188"/>
      <c r="M48" s="188"/>
      <c r="N48" s="188"/>
      <c r="O48" s="188"/>
      <c r="P48" s="188"/>
      <c r="Q48" s="188"/>
      <c r="R48" s="188"/>
    </row>
    <row r="49" spans="2:18" ht="15.75" thickBot="1" x14ac:dyDescent="0.3">
      <c r="B49" s="1619"/>
      <c r="C49" s="81"/>
      <c r="D49" s="181" t="s">
        <v>930</v>
      </c>
      <c r="E49" s="160" t="s">
        <v>2124</v>
      </c>
      <c r="F49" s="18"/>
      <c r="G49" s="18"/>
      <c r="H49" s="18"/>
      <c r="I49" s="18"/>
      <c r="J49" s="18"/>
      <c r="K49" s="18"/>
      <c r="L49" s="188"/>
      <c r="M49" s="188"/>
      <c r="N49" s="188"/>
      <c r="O49" s="188"/>
      <c r="P49" s="188"/>
      <c r="Q49" s="188"/>
      <c r="R49" s="188"/>
    </row>
    <row r="50" spans="2:18" ht="15.75" thickBot="1" x14ac:dyDescent="0.3">
      <c r="B50" s="1619"/>
      <c r="C50" s="81"/>
      <c r="D50" s="181" t="s">
        <v>9</v>
      </c>
      <c r="E50" s="160" t="s">
        <v>2122</v>
      </c>
      <c r="F50" s="18"/>
      <c r="G50" s="18"/>
      <c r="H50" s="18"/>
      <c r="I50" s="18"/>
      <c r="J50" s="18"/>
      <c r="K50" s="18"/>
      <c r="L50" s="188"/>
      <c r="M50" s="188"/>
      <c r="N50" s="188"/>
      <c r="O50" s="188"/>
      <c r="P50" s="188"/>
      <c r="Q50" s="188"/>
      <c r="R50" s="188"/>
    </row>
    <row r="51" spans="2:18" ht="15.75" thickBot="1" x14ac:dyDescent="0.3">
      <c r="B51" s="1619"/>
      <c r="C51" s="81"/>
      <c r="D51" s="181" t="s">
        <v>11</v>
      </c>
      <c r="E51" s="160" t="s">
        <v>2125</v>
      </c>
      <c r="F51" s="18"/>
      <c r="G51" s="18"/>
      <c r="H51" s="18"/>
      <c r="I51" s="18"/>
      <c r="J51" s="18"/>
      <c r="K51" s="18"/>
      <c r="L51" s="188"/>
      <c r="M51" s="188"/>
      <c r="N51" s="188"/>
      <c r="O51" s="188"/>
      <c r="P51" s="188"/>
      <c r="Q51" s="188"/>
      <c r="R51" s="188"/>
    </row>
    <row r="52" spans="2:18" ht="15.75" thickBot="1" x14ac:dyDescent="0.3">
      <c r="B52" s="1619"/>
      <c r="C52" s="81"/>
      <c r="D52" s="181" t="s">
        <v>13</v>
      </c>
      <c r="E52" s="160">
        <v>6695278</v>
      </c>
      <c r="F52" s="18"/>
      <c r="G52" s="18"/>
      <c r="H52" s="18"/>
      <c r="I52" s="18"/>
      <c r="J52" s="18"/>
      <c r="K52" s="18"/>
      <c r="L52" s="188"/>
      <c r="M52" s="188"/>
      <c r="N52" s="188"/>
      <c r="O52" s="188"/>
      <c r="P52" s="188"/>
      <c r="Q52" s="188"/>
      <c r="R52" s="188"/>
    </row>
    <row r="53" spans="2:18" ht="15.75" thickBot="1" x14ac:dyDescent="0.3">
      <c r="B53" s="1620"/>
      <c r="C53" s="8"/>
      <c r="D53" s="181" t="s">
        <v>931</v>
      </c>
      <c r="E53" s="160" t="s">
        <v>2097</v>
      </c>
      <c r="F53" s="18"/>
      <c r="G53" s="18"/>
      <c r="H53" s="18"/>
      <c r="I53" s="18"/>
      <c r="J53" s="18"/>
      <c r="K53" s="18"/>
      <c r="L53" s="188"/>
      <c r="M53" s="188"/>
      <c r="N53" s="188"/>
      <c r="O53" s="188"/>
      <c r="P53" s="188"/>
      <c r="Q53" s="188"/>
      <c r="R53" s="188"/>
    </row>
    <row r="54" spans="2:18" ht="15.75" thickBot="1" x14ac:dyDescent="0.3">
      <c r="B54" s="7"/>
      <c r="C54" s="80"/>
      <c r="D54" s="18"/>
      <c r="E54" s="18"/>
      <c r="F54" s="18"/>
      <c r="G54" s="18"/>
      <c r="H54" s="18"/>
      <c r="I54" s="18"/>
      <c r="J54" s="18"/>
      <c r="K54" s="18"/>
      <c r="L54" s="188"/>
      <c r="M54" s="188"/>
      <c r="N54" s="188"/>
      <c r="O54" s="188"/>
      <c r="P54" s="188"/>
      <c r="Q54" s="188"/>
      <c r="R54" s="188"/>
    </row>
    <row r="55" spans="2:18" ht="15.75" thickBot="1" x14ac:dyDescent="0.3">
      <c r="B55" s="1624" t="s">
        <v>932</v>
      </c>
      <c r="C55" s="1625"/>
      <c r="D55" s="1625"/>
      <c r="E55" s="1626"/>
      <c r="F55" s="18"/>
      <c r="G55" s="18"/>
      <c r="H55" s="18"/>
      <c r="I55" s="18"/>
      <c r="J55" s="18"/>
      <c r="K55" s="18"/>
      <c r="L55" s="188"/>
      <c r="M55" s="188"/>
      <c r="N55" s="188"/>
      <c r="O55" s="188"/>
      <c r="P55" s="188"/>
      <c r="Q55" s="188"/>
      <c r="R55" s="188"/>
    </row>
    <row r="56" spans="2:18" ht="15.75" thickBot="1" x14ac:dyDescent="0.3">
      <c r="B56" s="1618">
        <v>1</v>
      </c>
      <c r="C56" s="81"/>
      <c r="D56" s="33" t="s">
        <v>929</v>
      </c>
      <c r="E56" s="28" t="s">
        <v>933</v>
      </c>
      <c r="F56" s="18"/>
      <c r="G56" s="18"/>
      <c r="H56" s="18"/>
      <c r="I56" s="18"/>
      <c r="J56" s="18"/>
      <c r="K56" s="18"/>
      <c r="L56" s="188"/>
      <c r="M56" s="188"/>
      <c r="N56" s="188"/>
      <c r="O56" s="188"/>
      <c r="P56" s="188"/>
      <c r="Q56" s="188"/>
      <c r="R56" s="188"/>
    </row>
    <row r="57" spans="2:18" ht="15.75" thickBot="1" x14ac:dyDescent="0.3">
      <c r="B57" s="1619"/>
      <c r="C57" s="81"/>
      <c r="D57" s="181" t="s">
        <v>7</v>
      </c>
      <c r="E57" s="28" t="s">
        <v>934</v>
      </c>
      <c r="F57" s="18"/>
      <c r="G57" s="18"/>
      <c r="H57" s="18"/>
      <c r="I57" s="18"/>
      <c r="J57" s="18"/>
      <c r="K57" s="18"/>
      <c r="L57" s="188"/>
      <c r="M57" s="188"/>
      <c r="N57" s="188"/>
      <c r="O57" s="188"/>
      <c r="P57" s="188"/>
      <c r="Q57" s="188"/>
      <c r="R57" s="188"/>
    </row>
    <row r="58" spans="2:18" ht="15.75" thickBot="1" x14ac:dyDescent="0.3">
      <c r="B58" s="1619"/>
      <c r="C58" s="81"/>
      <c r="D58" s="181" t="s">
        <v>930</v>
      </c>
      <c r="E58" s="165"/>
      <c r="F58" s="18"/>
      <c r="G58" s="18"/>
      <c r="H58" s="18"/>
      <c r="I58" s="18"/>
      <c r="J58" s="18"/>
      <c r="K58" s="18"/>
      <c r="L58" s="188"/>
      <c r="M58" s="188"/>
      <c r="N58" s="188"/>
      <c r="O58" s="188"/>
      <c r="P58" s="188"/>
      <c r="Q58" s="188"/>
      <c r="R58" s="188"/>
    </row>
    <row r="59" spans="2:18" ht="15.75" thickBot="1" x14ac:dyDescent="0.3">
      <c r="B59" s="1619"/>
      <c r="C59" s="81"/>
      <c r="D59" s="181" t="s">
        <v>9</v>
      </c>
      <c r="E59" s="165"/>
      <c r="F59" s="18"/>
      <c r="G59" s="18"/>
      <c r="H59" s="18"/>
      <c r="I59" s="18"/>
      <c r="J59" s="18"/>
      <c r="K59" s="18"/>
      <c r="L59" s="188"/>
      <c r="M59" s="188"/>
      <c r="N59" s="188"/>
      <c r="O59" s="188"/>
      <c r="P59" s="188"/>
      <c r="Q59" s="188"/>
      <c r="R59" s="188"/>
    </row>
    <row r="60" spans="2:18" ht="15.75" thickBot="1" x14ac:dyDescent="0.3">
      <c r="B60" s="1619"/>
      <c r="C60" s="81"/>
      <c r="D60" s="181" t="s">
        <v>11</v>
      </c>
      <c r="E60" s="165"/>
      <c r="F60" s="18"/>
      <c r="G60" s="18"/>
      <c r="H60" s="18"/>
      <c r="I60" s="18"/>
      <c r="J60" s="18"/>
      <c r="K60" s="18"/>
      <c r="L60" s="188"/>
      <c r="M60" s="188"/>
      <c r="N60" s="188"/>
      <c r="O60" s="188"/>
      <c r="P60" s="188"/>
      <c r="Q60" s="188"/>
      <c r="R60" s="188"/>
    </row>
    <row r="61" spans="2:18" ht="15.75" thickBot="1" x14ac:dyDescent="0.3">
      <c r="B61" s="1619"/>
      <c r="C61" s="81"/>
      <c r="D61" s="181" t="s">
        <v>13</v>
      </c>
      <c r="E61" s="165"/>
      <c r="F61" s="18"/>
      <c r="G61" s="18"/>
      <c r="H61" s="18"/>
      <c r="I61" s="18"/>
      <c r="J61" s="18"/>
      <c r="K61" s="18"/>
      <c r="L61" s="188"/>
      <c r="M61" s="188"/>
      <c r="N61" s="188"/>
      <c r="O61" s="188"/>
      <c r="P61" s="188"/>
      <c r="Q61" s="188"/>
      <c r="R61" s="188"/>
    </row>
    <row r="62" spans="2:18" ht="15.75" thickBot="1" x14ac:dyDescent="0.3">
      <c r="B62" s="1620"/>
      <c r="C62" s="8"/>
      <c r="D62" s="181" t="s">
        <v>931</v>
      </c>
      <c r="E62" s="165"/>
      <c r="F62" s="18"/>
      <c r="G62" s="18"/>
      <c r="H62" s="18"/>
      <c r="I62" s="18"/>
      <c r="J62" s="18"/>
      <c r="K62" s="18"/>
      <c r="L62" s="188"/>
      <c r="M62" s="188"/>
      <c r="N62" s="188"/>
      <c r="O62" s="188"/>
      <c r="P62" s="188"/>
      <c r="Q62" s="188"/>
      <c r="R62" s="188"/>
    </row>
    <row r="63" spans="2:18" ht="15.75" thickBot="1" x14ac:dyDescent="0.3">
      <c r="B63" s="7"/>
      <c r="C63" s="80"/>
      <c r="D63" s="18"/>
      <c r="E63" s="18"/>
      <c r="F63" s="18"/>
      <c r="G63" s="18"/>
      <c r="H63" s="18"/>
      <c r="I63" s="18"/>
      <c r="J63" s="18"/>
      <c r="K63" s="18"/>
      <c r="L63" s="188"/>
      <c r="M63" s="188"/>
      <c r="N63" s="188"/>
      <c r="O63" s="188"/>
      <c r="P63" s="188"/>
      <c r="Q63" s="188"/>
      <c r="R63" s="188"/>
    </row>
    <row r="64" spans="2:18" ht="15" customHeight="1" thickBot="1" x14ac:dyDescent="0.3">
      <c r="B64" s="182" t="s">
        <v>935</v>
      </c>
      <c r="C64" s="183"/>
      <c r="D64" s="183"/>
      <c r="E64" s="184"/>
      <c r="F64" s="188"/>
      <c r="G64" s="18"/>
      <c r="H64" s="18"/>
      <c r="I64" s="18"/>
      <c r="J64" s="18"/>
      <c r="K64" s="18"/>
      <c r="L64" s="188"/>
      <c r="M64" s="188"/>
      <c r="N64" s="188"/>
      <c r="O64" s="188"/>
      <c r="P64" s="188"/>
      <c r="Q64" s="188"/>
      <c r="R64" s="188"/>
    </row>
    <row r="65" spans="2:18" ht="24.75" thickBot="1" x14ac:dyDescent="0.3">
      <c r="B65" s="179" t="s">
        <v>936</v>
      </c>
      <c r="C65" s="181" t="s">
        <v>937</v>
      </c>
      <c r="D65" s="181" t="s">
        <v>938</v>
      </c>
      <c r="E65" s="181" t="s">
        <v>939</v>
      </c>
      <c r="F65" s="18"/>
      <c r="G65" s="18"/>
      <c r="H65" s="18"/>
      <c r="I65" s="18"/>
      <c r="J65" s="18"/>
      <c r="K65" s="188"/>
      <c r="L65" s="188"/>
      <c r="M65" s="188"/>
      <c r="N65" s="188"/>
      <c r="O65" s="188"/>
      <c r="P65" s="188"/>
      <c r="Q65" s="188"/>
      <c r="R65" s="188"/>
    </row>
    <row r="66" spans="2:18" ht="60.75" thickBot="1" x14ac:dyDescent="0.3">
      <c r="B66" s="35">
        <v>42401</v>
      </c>
      <c r="C66" s="181">
        <v>0.01</v>
      </c>
      <c r="D66" s="175" t="s">
        <v>2039</v>
      </c>
      <c r="E66" s="181"/>
      <c r="F66" s="18"/>
      <c r="G66" s="18"/>
      <c r="H66" s="18"/>
      <c r="I66" s="18"/>
      <c r="J66" s="18"/>
      <c r="K66" s="188"/>
      <c r="L66" s="188"/>
      <c r="M66" s="188"/>
      <c r="N66" s="188"/>
      <c r="O66" s="188"/>
      <c r="P66" s="188"/>
      <c r="Q66" s="188"/>
      <c r="R66" s="188"/>
    </row>
    <row r="67" spans="2:18" ht="15.75" thickBot="1" x14ac:dyDescent="0.3">
      <c r="B67" s="9"/>
      <c r="C67" s="82"/>
      <c r="D67" s="18"/>
      <c r="E67" s="18"/>
      <c r="F67" s="18"/>
      <c r="G67" s="18"/>
      <c r="H67" s="18"/>
      <c r="I67" s="18"/>
      <c r="J67" s="18"/>
      <c r="K67" s="18"/>
      <c r="L67" s="188"/>
      <c r="M67" s="188"/>
      <c r="N67" s="188"/>
      <c r="O67" s="188"/>
      <c r="P67" s="188"/>
      <c r="Q67" s="188"/>
      <c r="R67" s="188"/>
    </row>
    <row r="68" spans="2:18" ht="24.75" thickBot="1" x14ac:dyDescent="0.3">
      <c r="B68" s="354" t="s">
        <v>846</v>
      </c>
      <c r="C68" s="83"/>
      <c r="D68" s="18"/>
      <c r="E68" s="18"/>
      <c r="F68" s="18"/>
      <c r="G68" s="18"/>
      <c r="H68" s="18"/>
      <c r="I68" s="18"/>
      <c r="J68" s="18"/>
      <c r="K68" s="18"/>
      <c r="L68" s="188"/>
      <c r="M68" s="188"/>
      <c r="N68" s="188"/>
      <c r="O68" s="188"/>
      <c r="P68" s="188"/>
      <c r="Q68" s="188"/>
      <c r="R68" s="188"/>
    </row>
    <row r="69" spans="2:18" x14ac:dyDescent="0.25">
      <c r="B69" s="1593"/>
      <c r="C69" s="1594"/>
      <c r="D69" s="1594"/>
      <c r="E69" s="1594"/>
      <c r="F69" s="1594"/>
      <c r="G69" s="1595"/>
      <c r="H69" s="18"/>
      <c r="I69" s="18"/>
      <c r="J69" s="18"/>
      <c r="K69" s="18"/>
      <c r="L69" s="188"/>
      <c r="M69" s="188"/>
      <c r="N69" s="188"/>
      <c r="O69" s="188"/>
      <c r="P69" s="188"/>
      <c r="Q69" s="188"/>
      <c r="R69" s="188"/>
    </row>
    <row r="70" spans="2:18" ht="15.75" thickBot="1" x14ac:dyDescent="0.3">
      <c r="B70" s="1596"/>
      <c r="C70" s="1597"/>
      <c r="D70" s="1597"/>
      <c r="E70" s="1597"/>
      <c r="F70" s="1597"/>
      <c r="G70" s="1598"/>
      <c r="H70" s="18"/>
      <c r="I70" s="18"/>
      <c r="J70" s="18"/>
      <c r="K70" s="18"/>
      <c r="L70" s="188"/>
      <c r="M70" s="188"/>
      <c r="N70" s="188"/>
      <c r="O70" s="188"/>
      <c r="P70" s="188"/>
      <c r="Q70" s="188"/>
      <c r="R70" s="188"/>
    </row>
    <row r="71" spans="2:18" x14ac:dyDescent="0.25">
      <c r="B71" s="7"/>
      <c r="C71" s="80"/>
      <c r="D71" s="18"/>
      <c r="E71" s="18"/>
      <c r="F71" s="18"/>
      <c r="G71" s="18"/>
      <c r="H71" s="18"/>
      <c r="I71" s="18"/>
      <c r="J71" s="18"/>
      <c r="K71" s="18"/>
      <c r="L71" s="188"/>
      <c r="M71" s="188"/>
      <c r="N71" s="188"/>
      <c r="O71" s="188"/>
      <c r="P71" s="188"/>
      <c r="Q71" s="188"/>
      <c r="R71" s="188"/>
    </row>
    <row r="72" spans="2:18" ht="15.75" thickBot="1" x14ac:dyDescent="0.3">
      <c r="B72" s="18"/>
      <c r="C72" s="79"/>
      <c r="D72" s="18"/>
      <c r="E72" s="18"/>
      <c r="F72" s="18"/>
      <c r="G72" s="18"/>
      <c r="H72" s="18"/>
      <c r="I72" s="18"/>
      <c r="J72" s="18"/>
      <c r="K72" s="18"/>
      <c r="L72" s="188"/>
      <c r="M72" s="188"/>
      <c r="N72" s="188"/>
      <c r="O72" s="188"/>
      <c r="P72" s="188"/>
      <c r="Q72" s="188"/>
      <c r="R72" s="188"/>
    </row>
    <row r="73" spans="2:18" ht="24.75" thickBot="1" x14ac:dyDescent="0.3">
      <c r="B73" s="191" t="s">
        <v>941</v>
      </c>
      <c r="C73" s="84"/>
      <c r="D73" s="18"/>
      <c r="E73" s="18"/>
      <c r="F73" s="18"/>
      <c r="G73" s="18"/>
      <c r="H73" s="18"/>
      <c r="I73" s="18"/>
      <c r="J73" s="18"/>
      <c r="K73" s="18"/>
      <c r="L73" s="188"/>
      <c r="M73" s="188"/>
      <c r="N73" s="188"/>
      <c r="O73" s="188"/>
      <c r="P73" s="188"/>
      <c r="Q73" s="188"/>
      <c r="R73" s="188"/>
    </row>
    <row r="74" spans="2:18" ht="15.75" thickBot="1" x14ac:dyDescent="0.3">
      <c r="B74" s="28"/>
      <c r="C74" s="77"/>
      <c r="D74" s="18"/>
      <c r="E74" s="18"/>
      <c r="F74" s="18"/>
      <c r="G74" s="18"/>
      <c r="H74" s="18"/>
      <c r="I74" s="18"/>
      <c r="J74" s="18"/>
      <c r="K74" s="18"/>
      <c r="L74" s="188"/>
      <c r="M74" s="188"/>
      <c r="N74" s="188"/>
      <c r="O74" s="188"/>
      <c r="P74" s="188"/>
      <c r="Q74" s="188"/>
      <c r="R74" s="188"/>
    </row>
    <row r="75" spans="2:18" ht="60.75" thickBot="1" x14ac:dyDescent="0.3">
      <c r="B75" s="36" t="s">
        <v>942</v>
      </c>
      <c r="C75" s="20"/>
      <c r="D75" s="180" t="s">
        <v>2040</v>
      </c>
      <c r="E75" s="18"/>
      <c r="F75" s="18"/>
      <c r="G75" s="18"/>
      <c r="H75" s="18"/>
      <c r="I75" s="18"/>
      <c r="J75" s="18"/>
      <c r="K75" s="18"/>
      <c r="L75" s="188"/>
      <c r="M75" s="188"/>
      <c r="N75" s="188"/>
      <c r="O75" s="188"/>
      <c r="P75" s="188"/>
      <c r="Q75" s="188"/>
      <c r="R75" s="188"/>
    </row>
    <row r="76" spans="2:18" x14ac:dyDescent="0.25">
      <c r="B76" s="1618" t="s">
        <v>944</v>
      </c>
      <c r="C76" s="81"/>
      <c r="D76" s="176" t="s">
        <v>945</v>
      </c>
      <c r="E76" s="18"/>
      <c r="F76" s="18"/>
      <c r="G76" s="18"/>
      <c r="H76" s="18"/>
      <c r="I76" s="18"/>
      <c r="J76" s="18"/>
      <c r="K76" s="18"/>
      <c r="L76" s="188"/>
      <c r="M76" s="188"/>
      <c r="N76" s="188"/>
      <c r="O76" s="188"/>
      <c r="P76" s="188"/>
      <c r="Q76" s="188"/>
      <c r="R76" s="188"/>
    </row>
    <row r="77" spans="2:18" ht="84" x14ac:dyDescent="0.25">
      <c r="B77" s="1619"/>
      <c r="C77" s="81"/>
      <c r="D77" s="177" t="s">
        <v>2041</v>
      </c>
      <c r="E77" s="18"/>
      <c r="F77" s="18"/>
      <c r="G77" s="18"/>
      <c r="H77" s="18"/>
      <c r="I77" s="18"/>
      <c r="J77" s="18"/>
      <c r="K77" s="18"/>
      <c r="L77" s="188"/>
      <c r="M77" s="188"/>
      <c r="N77" s="188"/>
      <c r="O77" s="188"/>
      <c r="P77" s="188"/>
      <c r="Q77" s="188"/>
      <c r="R77" s="188"/>
    </row>
    <row r="78" spans="2:18" x14ac:dyDescent="0.25">
      <c r="B78" s="1619"/>
      <c r="C78" s="81"/>
      <c r="D78" s="176" t="s">
        <v>948</v>
      </c>
      <c r="E78" s="18"/>
      <c r="F78" s="18"/>
      <c r="G78" s="18"/>
      <c r="H78" s="18"/>
      <c r="I78" s="18"/>
      <c r="J78" s="18"/>
      <c r="K78" s="18"/>
      <c r="L78" s="188"/>
      <c r="M78" s="188"/>
      <c r="N78" s="188"/>
      <c r="O78" s="188"/>
      <c r="P78" s="188"/>
      <c r="Q78" s="188"/>
      <c r="R78" s="188"/>
    </row>
    <row r="79" spans="2:18" x14ac:dyDescent="0.25">
      <c r="B79" s="1619"/>
      <c r="C79" s="81"/>
      <c r="D79" s="177" t="s">
        <v>2042</v>
      </c>
      <c r="E79" s="18"/>
      <c r="F79" s="18"/>
      <c r="G79" s="18"/>
      <c r="H79" s="18"/>
      <c r="I79" s="18"/>
      <c r="J79" s="18"/>
      <c r="K79" s="18"/>
      <c r="L79" s="188"/>
      <c r="M79" s="188"/>
      <c r="N79" s="188"/>
      <c r="O79" s="188"/>
      <c r="P79" s="188"/>
      <c r="Q79" s="188"/>
      <c r="R79" s="188"/>
    </row>
    <row r="80" spans="2:18" x14ac:dyDescent="0.25">
      <c r="B80" s="1619"/>
      <c r="C80" s="81"/>
      <c r="D80" s="177" t="s">
        <v>950</v>
      </c>
      <c r="E80" s="18"/>
      <c r="F80" s="18"/>
      <c r="G80" s="18"/>
      <c r="H80" s="18"/>
      <c r="I80" s="18"/>
      <c r="J80" s="18"/>
      <c r="K80" s="18"/>
      <c r="L80" s="188"/>
      <c r="M80" s="188"/>
      <c r="N80" s="188"/>
      <c r="O80" s="188"/>
      <c r="P80" s="188"/>
      <c r="Q80" s="188"/>
      <c r="R80" s="188"/>
    </row>
    <row r="81" spans="2:18" x14ac:dyDescent="0.25">
      <c r="B81" s="1619"/>
      <c r="C81" s="81"/>
      <c r="D81" s="176" t="s">
        <v>1172</v>
      </c>
      <c r="E81" s="18"/>
      <c r="F81" s="18"/>
      <c r="G81" s="18"/>
      <c r="H81" s="18"/>
      <c r="I81" s="18"/>
      <c r="J81" s="18"/>
      <c r="K81" s="18"/>
      <c r="L81" s="188"/>
      <c r="M81" s="188"/>
      <c r="N81" s="188"/>
      <c r="O81" s="188"/>
      <c r="P81" s="188"/>
      <c r="Q81" s="188"/>
      <c r="R81" s="188"/>
    </row>
    <row r="82" spans="2:18" ht="15.75" thickBot="1" x14ac:dyDescent="0.3">
      <c r="B82" s="1620"/>
      <c r="C82" s="8"/>
      <c r="D82" s="181" t="s">
        <v>2043</v>
      </c>
      <c r="E82" s="18"/>
      <c r="F82" s="18"/>
      <c r="G82" s="18"/>
      <c r="H82" s="18"/>
      <c r="I82" s="18"/>
      <c r="J82" s="18"/>
      <c r="K82" s="18"/>
      <c r="L82" s="188"/>
      <c r="M82" s="188"/>
      <c r="N82" s="188"/>
      <c r="O82" s="188"/>
      <c r="P82" s="188"/>
      <c r="Q82" s="188"/>
      <c r="R82" s="188"/>
    </row>
    <row r="83" spans="2:18" x14ac:dyDescent="0.25">
      <c r="B83" s="1618" t="s">
        <v>957</v>
      </c>
      <c r="C83" s="192"/>
      <c r="D83" s="1618"/>
      <c r="E83" s="18"/>
      <c r="F83" s="18"/>
      <c r="G83" s="18"/>
      <c r="H83" s="18"/>
      <c r="I83" s="18"/>
      <c r="J83" s="18"/>
      <c r="K83" s="18"/>
      <c r="L83" s="188"/>
      <c r="M83" s="188"/>
      <c r="N83" s="188"/>
      <c r="O83" s="188"/>
      <c r="P83" s="188"/>
      <c r="Q83" s="188"/>
      <c r="R83" s="188"/>
    </row>
    <row r="84" spans="2:18" ht="15.75" thickBot="1" x14ac:dyDescent="0.3">
      <c r="B84" s="1620"/>
      <c r="C84" s="78"/>
      <c r="D84" s="1620"/>
      <c r="E84" s="18"/>
      <c r="F84" s="18"/>
      <c r="G84" s="18"/>
      <c r="H84" s="18"/>
      <c r="I84" s="18"/>
      <c r="J84" s="18"/>
      <c r="K84" s="18"/>
      <c r="L84" s="188"/>
      <c r="M84" s="188"/>
      <c r="N84" s="188"/>
      <c r="O84" s="188"/>
      <c r="P84" s="188"/>
      <c r="Q84" s="188"/>
      <c r="R84" s="188"/>
    </row>
    <row r="85" spans="2:18" ht="96" x14ac:dyDescent="0.25">
      <c r="B85" s="1618" t="s">
        <v>958</v>
      </c>
      <c r="C85" s="81"/>
      <c r="D85" s="177" t="s">
        <v>2044</v>
      </c>
      <c r="E85" s="18"/>
      <c r="F85" s="18"/>
      <c r="G85" s="18"/>
      <c r="H85" s="18"/>
      <c r="I85" s="18"/>
      <c r="J85" s="18"/>
      <c r="K85" s="18"/>
      <c r="L85" s="188"/>
      <c r="M85" s="188"/>
      <c r="N85" s="188"/>
      <c r="O85" s="188"/>
      <c r="P85" s="188"/>
      <c r="Q85" s="188"/>
      <c r="R85" s="188"/>
    </row>
    <row r="86" spans="2:18" ht="204" x14ac:dyDescent="0.25">
      <c r="B86" s="1619"/>
      <c r="C86" s="81"/>
      <c r="D86" s="177" t="s">
        <v>2045</v>
      </c>
      <c r="E86" s="18"/>
      <c r="F86" s="18"/>
      <c r="G86" s="18"/>
      <c r="H86" s="18"/>
      <c r="I86" s="18"/>
      <c r="J86" s="18"/>
      <c r="K86" s="18"/>
      <c r="L86" s="188"/>
      <c r="M86" s="188"/>
      <c r="N86" s="188"/>
      <c r="O86" s="188"/>
      <c r="P86" s="188"/>
      <c r="Q86" s="188"/>
      <c r="R86" s="188"/>
    </row>
    <row r="87" spans="2:18" ht="228" x14ac:dyDescent="0.25">
      <c r="B87" s="1619"/>
      <c r="C87" s="81"/>
      <c r="D87" s="177" t="s">
        <v>2046</v>
      </c>
      <c r="E87" s="18"/>
      <c r="F87" s="18"/>
      <c r="G87" s="18"/>
      <c r="H87" s="18"/>
      <c r="I87" s="18"/>
      <c r="J87" s="18"/>
      <c r="K87" s="18"/>
    </row>
    <row r="88" spans="2:18" ht="96" x14ac:dyDescent="0.25">
      <c r="B88" s="1619"/>
      <c r="C88" s="81"/>
      <c r="D88" s="177" t="s">
        <v>2047</v>
      </c>
      <c r="E88" s="18"/>
      <c r="F88" s="18"/>
      <c r="G88" s="18"/>
      <c r="H88" s="18"/>
      <c r="I88" s="18"/>
      <c r="J88" s="18"/>
      <c r="K88" s="18"/>
    </row>
    <row r="89" spans="2:18" ht="36" x14ac:dyDescent="0.25">
      <c r="B89" s="1619"/>
      <c r="C89" s="81"/>
      <c r="D89" s="177" t="s">
        <v>2048</v>
      </c>
      <c r="E89" s="18"/>
      <c r="F89" s="18"/>
      <c r="G89" s="18"/>
      <c r="H89" s="18"/>
      <c r="I89" s="18"/>
      <c r="J89" s="18"/>
      <c r="K89" s="18"/>
    </row>
    <row r="90" spans="2:18" ht="36" x14ac:dyDescent="0.25">
      <c r="B90" s="1619"/>
      <c r="C90" s="81"/>
      <c r="D90" s="177" t="s">
        <v>2049</v>
      </c>
      <c r="E90" s="18"/>
      <c r="F90" s="18"/>
      <c r="G90" s="18"/>
      <c r="H90" s="18"/>
      <c r="I90" s="18"/>
      <c r="J90" s="18"/>
      <c r="K90" s="18"/>
    </row>
    <row r="91" spans="2:18" ht="36" x14ac:dyDescent="0.25">
      <c r="B91" s="1619"/>
      <c r="C91" s="81"/>
      <c r="D91" s="177" t="s">
        <v>2050</v>
      </c>
      <c r="E91" s="18"/>
      <c r="F91" s="18"/>
      <c r="G91" s="18"/>
      <c r="H91" s="18"/>
      <c r="I91" s="18"/>
      <c r="J91" s="18"/>
      <c r="K91" s="18"/>
    </row>
    <row r="92" spans="2:18" ht="24" x14ac:dyDescent="0.25">
      <c r="B92" s="1619"/>
      <c r="C92" s="81"/>
      <c r="D92" s="177" t="s">
        <v>2051</v>
      </c>
      <c r="E92" s="18"/>
      <c r="F92" s="18"/>
      <c r="G92" s="18"/>
      <c r="H92" s="18"/>
      <c r="I92" s="18"/>
      <c r="J92" s="18"/>
      <c r="K92" s="18"/>
    </row>
    <row r="93" spans="2:18" ht="36" x14ac:dyDescent="0.25">
      <c r="B93" s="1619"/>
      <c r="C93" s="81"/>
      <c r="D93" s="177" t="s">
        <v>2052</v>
      </c>
      <c r="E93" s="18"/>
      <c r="F93" s="18"/>
      <c r="G93" s="18"/>
      <c r="H93" s="18"/>
      <c r="I93" s="18"/>
      <c r="J93" s="18"/>
      <c r="K93" s="18"/>
    </row>
    <row r="94" spans="2:18" ht="36" x14ac:dyDescent="0.25">
      <c r="B94" s="1619"/>
      <c r="C94" s="81"/>
      <c r="D94" s="177" t="s">
        <v>2053</v>
      </c>
      <c r="E94" s="18"/>
      <c r="F94" s="18"/>
      <c r="G94" s="18"/>
      <c r="H94" s="18"/>
      <c r="I94" s="18"/>
      <c r="J94" s="18"/>
      <c r="K94" s="18"/>
    </row>
    <row r="95" spans="2:18" ht="72.75" thickBot="1" x14ac:dyDescent="0.3">
      <c r="B95" s="1620"/>
      <c r="C95" s="8"/>
      <c r="D95" s="181" t="s">
        <v>2054</v>
      </c>
      <c r="E95" s="18"/>
      <c r="F95" s="18"/>
      <c r="G95" s="18"/>
      <c r="H95" s="18"/>
      <c r="I95" s="18"/>
      <c r="J95" s="18"/>
      <c r="K95" s="18"/>
    </row>
    <row r="96" spans="2:18" ht="24" x14ac:dyDescent="0.25">
      <c r="B96" s="1618" t="s">
        <v>975</v>
      </c>
      <c r="C96" s="81"/>
      <c r="D96" s="176" t="s">
        <v>2055</v>
      </c>
      <c r="E96" s="18"/>
      <c r="F96" s="18"/>
      <c r="G96" s="18"/>
      <c r="H96" s="18"/>
      <c r="I96" s="18"/>
      <c r="J96" s="18"/>
      <c r="K96" s="18"/>
    </row>
    <row r="97" spans="2:11" x14ac:dyDescent="0.25">
      <c r="B97" s="1619"/>
      <c r="C97" s="81"/>
      <c r="D97" s="178"/>
      <c r="E97" s="18"/>
      <c r="F97" s="18"/>
      <c r="G97" s="18"/>
      <c r="H97" s="18"/>
      <c r="I97" s="18"/>
      <c r="J97" s="18"/>
      <c r="K97" s="18"/>
    </row>
    <row r="98" spans="2:11" x14ac:dyDescent="0.25">
      <c r="B98" s="1619"/>
      <c r="C98" s="81"/>
      <c r="D98" s="177" t="s">
        <v>976</v>
      </c>
      <c r="E98" s="18"/>
      <c r="F98" s="18"/>
      <c r="G98" s="18"/>
      <c r="H98" s="18"/>
      <c r="I98" s="18"/>
      <c r="J98" s="18"/>
      <c r="K98" s="18"/>
    </row>
    <row r="99" spans="2:11" ht="25.5" x14ac:dyDescent="0.25">
      <c r="B99" s="1619"/>
      <c r="C99" s="81"/>
      <c r="D99" s="177" t="s">
        <v>2056</v>
      </c>
      <c r="E99" s="18"/>
      <c r="F99" s="18"/>
      <c r="G99" s="18"/>
      <c r="H99" s="18"/>
      <c r="I99" s="18"/>
      <c r="J99" s="18"/>
      <c r="K99" s="18"/>
    </row>
    <row r="100" spans="2:11" ht="37.5" x14ac:dyDescent="0.25">
      <c r="B100" s="1619"/>
      <c r="C100" s="81"/>
      <c r="D100" s="177" t="s">
        <v>2057</v>
      </c>
      <c r="E100" s="18"/>
      <c r="F100" s="18"/>
      <c r="G100" s="18"/>
      <c r="H100" s="18"/>
      <c r="I100" s="18"/>
      <c r="J100" s="18"/>
      <c r="K100" s="18"/>
    </row>
    <row r="101" spans="2:11" ht="37.5" x14ac:dyDescent="0.25">
      <c r="B101" s="1619"/>
      <c r="C101" s="81"/>
      <c r="D101" s="177" t="s">
        <v>2058</v>
      </c>
      <c r="E101" s="18"/>
      <c r="F101" s="18"/>
      <c r="G101" s="18"/>
      <c r="H101" s="18"/>
      <c r="I101" s="18"/>
      <c r="J101" s="18"/>
      <c r="K101" s="18"/>
    </row>
    <row r="102" spans="2:11" ht="37.5" x14ac:dyDescent="0.25">
      <c r="B102" s="1619"/>
      <c r="C102" s="81"/>
      <c r="D102" s="177" t="s">
        <v>2059</v>
      </c>
      <c r="E102" s="18"/>
      <c r="F102" s="18"/>
      <c r="G102" s="18"/>
      <c r="H102" s="18"/>
      <c r="I102" s="18"/>
      <c r="J102" s="18"/>
      <c r="K102" s="18"/>
    </row>
    <row r="103" spans="2:11" x14ac:dyDescent="0.25">
      <c r="B103" s="1619"/>
      <c r="C103" s="81"/>
      <c r="D103" s="177" t="s">
        <v>2060</v>
      </c>
      <c r="E103" s="18"/>
      <c r="F103" s="18"/>
      <c r="G103" s="18"/>
      <c r="H103" s="18"/>
      <c r="I103" s="18"/>
      <c r="J103" s="18"/>
      <c r="K103" s="18"/>
    </row>
    <row r="104" spans="2:11" x14ac:dyDescent="0.25">
      <c r="B104" s="1619"/>
      <c r="C104" s="81"/>
      <c r="D104" s="177" t="s">
        <v>2061</v>
      </c>
      <c r="E104" s="18"/>
      <c r="F104" s="18"/>
      <c r="G104" s="18"/>
      <c r="H104" s="18"/>
      <c r="I104" s="18"/>
      <c r="J104" s="18"/>
      <c r="K104" s="18"/>
    </row>
    <row r="105" spans="2:11" x14ac:dyDescent="0.25">
      <c r="B105" s="1619"/>
      <c r="C105" s="81"/>
      <c r="D105" s="177" t="s">
        <v>2062</v>
      </c>
      <c r="E105" s="18"/>
      <c r="F105" s="18"/>
      <c r="G105" s="18"/>
      <c r="H105" s="18"/>
      <c r="I105" s="18"/>
      <c r="J105" s="18"/>
      <c r="K105" s="18"/>
    </row>
    <row r="106" spans="2:11" x14ac:dyDescent="0.25">
      <c r="B106" s="1619"/>
      <c r="C106" s="81"/>
      <c r="D106" s="177" t="s">
        <v>1742</v>
      </c>
      <c r="E106" s="18"/>
      <c r="F106" s="18"/>
      <c r="G106" s="18"/>
      <c r="H106" s="18"/>
      <c r="I106" s="18"/>
      <c r="J106" s="18"/>
      <c r="K106" s="18"/>
    </row>
    <row r="107" spans="2:11" ht="84" x14ac:dyDescent="0.25">
      <c r="B107" s="1619"/>
      <c r="C107" s="81"/>
      <c r="D107" s="193" t="s">
        <v>1142</v>
      </c>
      <c r="E107" s="18"/>
      <c r="F107" s="18"/>
      <c r="G107" s="18"/>
      <c r="H107" s="18"/>
      <c r="I107" s="18"/>
      <c r="J107" s="18"/>
      <c r="K107" s="18"/>
    </row>
    <row r="108" spans="2:11" x14ac:dyDescent="0.25">
      <c r="B108" s="1619"/>
      <c r="C108" s="81"/>
      <c r="D108" s="177" t="s">
        <v>1116</v>
      </c>
      <c r="E108" s="18"/>
      <c r="F108" s="18"/>
      <c r="G108" s="18"/>
      <c r="H108" s="18"/>
      <c r="I108" s="18"/>
      <c r="J108" s="18"/>
      <c r="K108" s="18"/>
    </row>
    <row r="109" spans="2:11" ht="24" x14ac:dyDescent="0.25">
      <c r="B109" s="1619"/>
      <c r="C109" s="81"/>
      <c r="D109" s="176" t="s">
        <v>2063</v>
      </c>
      <c r="E109" s="18"/>
      <c r="F109" s="18"/>
      <c r="G109" s="18"/>
      <c r="H109" s="18"/>
      <c r="I109" s="18"/>
      <c r="J109" s="18"/>
      <c r="K109" s="18"/>
    </row>
    <row r="110" spans="2:11" x14ac:dyDescent="0.25">
      <c r="B110" s="1619"/>
      <c r="C110" s="81"/>
      <c r="D110" s="178"/>
      <c r="E110" s="18"/>
      <c r="F110" s="18"/>
      <c r="G110" s="18"/>
      <c r="H110" s="18"/>
      <c r="I110" s="18"/>
      <c r="J110" s="18"/>
      <c r="K110" s="18"/>
    </row>
    <row r="111" spans="2:11" x14ac:dyDescent="0.25">
      <c r="B111" s="1619"/>
      <c r="C111" s="81"/>
      <c r="D111" s="177" t="s">
        <v>976</v>
      </c>
      <c r="E111" s="18"/>
      <c r="F111" s="18"/>
      <c r="G111" s="18"/>
      <c r="H111" s="18"/>
      <c r="I111" s="18"/>
      <c r="J111" s="18"/>
      <c r="K111" s="18"/>
    </row>
    <row r="112" spans="2:11" ht="37.5" x14ac:dyDescent="0.25">
      <c r="B112" s="1619"/>
      <c r="C112" s="81"/>
      <c r="D112" s="177" t="s">
        <v>2064</v>
      </c>
      <c r="E112" s="18"/>
      <c r="F112" s="18"/>
      <c r="G112" s="18"/>
      <c r="H112" s="18"/>
      <c r="I112" s="18"/>
      <c r="J112" s="18"/>
      <c r="K112" s="18"/>
    </row>
    <row r="113" spans="2:11" ht="37.5" x14ac:dyDescent="0.25">
      <c r="B113" s="1619"/>
      <c r="C113" s="81"/>
      <c r="D113" s="177" t="s">
        <v>2065</v>
      </c>
      <c r="E113" s="18"/>
      <c r="F113" s="18"/>
      <c r="G113" s="18"/>
      <c r="H113" s="18"/>
      <c r="I113" s="18"/>
      <c r="J113" s="18"/>
      <c r="K113" s="18"/>
    </row>
    <row r="114" spans="2:11" ht="38.25" thickBot="1" x14ac:dyDescent="0.3">
      <c r="B114" s="1620"/>
      <c r="C114" s="8"/>
      <c r="D114" s="181" t="s">
        <v>2066</v>
      </c>
      <c r="E114" s="18"/>
      <c r="F114" s="18"/>
      <c r="G114" s="18"/>
      <c r="H114" s="18"/>
      <c r="I114" s="18"/>
      <c r="J114" s="18"/>
      <c r="K114" s="18"/>
    </row>
    <row r="115" spans="2:11" x14ac:dyDescent="0.25">
      <c r="B115" s="18"/>
      <c r="C115" s="79"/>
      <c r="D115" s="18"/>
      <c r="E115" s="18"/>
      <c r="F115" s="18"/>
      <c r="G115" s="18"/>
      <c r="H115" s="18"/>
      <c r="I115" s="18"/>
      <c r="J115" s="18"/>
      <c r="K115" s="18"/>
    </row>
    <row r="116" spans="2:11" s="188" customFormat="1" x14ac:dyDescent="0.25">
      <c r="C116" s="79"/>
    </row>
    <row r="117" spans="2:11" s="188" customFormat="1" x14ac:dyDescent="0.25">
      <c r="C117" s="79"/>
    </row>
    <row r="118" spans="2:11" s="188" customFormat="1" x14ac:dyDescent="0.25">
      <c r="C118" s="79"/>
    </row>
    <row r="119" spans="2:11" s="188" customFormat="1" x14ac:dyDescent="0.25">
      <c r="C119" s="79"/>
    </row>
    <row r="120" spans="2:11" s="188" customFormat="1" x14ac:dyDescent="0.25">
      <c r="C120" s="79"/>
    </row>
    <row r="121" spans="2:11" s="188" customFormat="1" x14ac:dyDescent="0.25">
      <c r="C121" s="79"/>
    </row>
    <row r="122" spans="2:11" s="188" customFormat="1" x14ac:dyDescent="0.25">
      <c r="C122" s="79"/>
    </row>
    <row r="123" spans="2:11" s="188" customFormat="1" x14ac:dyDescent="0.25">
      <c r="C123" s="79"/>
    </row>
    <row r="124" spans="2:11" s="188" customFormat="1" x14ac:dyDescent="0.25">
      <c r="C124" s="79"/>
    </row>
  </sheetData>
  <sheetProtection formatCells="0" formatRows="0" insertColumns="0" insertRows="0" deleteColumns="0" deleteRows="0"/>
  <mergeCells count="38">
    <mergeCell ref="D21:K21"/>
    <mergeCell ref="D22:D23"/>
    <mergeCell ref="E22:F22"/>
    <mergeCell ref="G22:J22"/>
    <mergeCell ref="C22:C23"/>
    <mergeCell ref="B76:B82"/>
    <mergeCell ref="B83:B84"/>
    <mergeCell ref="D83:D84"/>
    <mergeCell ref="C33:C35"/>
    <mergeCell ref="D33:D35"/>
    <mergeCell ref="B56:B62"/>
    <mergeCell ref="B55:E55"/>
    <mergeCell ref="B85:B95"/>
    <mergeCell ref="B96:B114"/>
    <mergeCell ref="B69:G70"/>
    <mergeCell ref="H34:H35"/>
    <mergeCell ref="D31:K31"/>
    <mergeCell ref="F33:G33"/>
    <mergeCell ref="E34:E35"/>
    <mergeCell ref="F34:F35"/>
    <mergeCell ref="D32:K32"/>
    <mergeCell ref="D43:K43"/>
    <mergeCell ref="D44:K44"/>
    <mergeCell ref="B46:E46"/>
    <mergeCell ref="B47:B53"/>
    <mergeCell ref="B15:B42"/>
    <mergeCell ref="D15:K15"/>
    <mergeCell ref="D20:K20"/>
    <mergeCell ref="B10:D10"/>
    <mergeCell ref="F10:S10"/>
    <mergeCell ref="F11:S11"/>
    <mergeCell ref="E12:R12"/>
    <mergeCell ref="E13:R13"/>
    <mergeCell ref="A1:P1"/>
    <mergeCell ref="A2:P2"/>
    <mergeCell ref="A3:P3"/>
    <mergeCell ref="A4:D4"/>
    <mergeCell ref="A5:P5"/>
  </mergeCells>
  <conditionalFormatting sqref="D42">
    <cfRule type="containsText" dxfId="16" priority="5" operator="containsText" text="ERROR">
      <formula>NOT(ISERROR(SEARCH("ERROR",D42)))</formula>
    </cfRule>
  </conditionalFormatting>
  <conditionalFormatting sqref="F10">
    <cfRule type="notContainsBlanks" dxfId="15" priority="4">
      <formula>LEN(TRIM(F10))&gt;0</formula>
    </cfRule>
  </conditionalFormatting>
  <conditionalFormatting sqref="F11:S11">
    <cfRule type="expression" dxfId="14" priority="2">
      <formula>E11="NO SE REPORTA"</formula>
    </cfRule>
    <cfRule type="expression" dxfId="13" priority="3">
      <formula>E10="NO APLICA"</formula>
    </cfRule>
  </conditionalFormatting>
  <conditionalFormatting sqref="E12:R12">
    <cfRule type="expression" dxfId="12"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G24:J29">
      <formula1>0</formula1>
    </dataValidation>
    <dataValidation type="decimal" allowBlank="1" showInputMessage="1" showErrorMessage="1" errorTitle="ERROR" error="Escriba un valor entre 0% y 100%" sqref="E24:F29 D36:D41">
      <formula1>0</formula1>
      <formula2>1</formula2>
    </dataValidation>
    <dataValidation allowBlank="1" showInputMessage="1" showErrorMessage="1" sqref="D42 E36:G42 G30:J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topLeftCell="A4" zoomScale="140" zoomScaleNormal="140" zoomScaleSheetLayoutView="100" workbookViewId="0">
      <selection activeCell="B38" sqref="B38"/>
    </sheetView>
  </sheetViews>
  <sheetFormatPr baseColWidth="10" defaultColWidth="11.42578125" defaultRowHeight="12.75" x14ac:dyDescent="0.25"/>
  <cols>
    <col min="1" max="1" width="47.42578125" style="393" customWidth="1"/>
    <col min="2" max="2" width="84.140625" style="393" customWidth="1"/>
    <col min="3" max="4" width="11.42578125" style="393"/>
    <col min="5" max="5" width="0" style="393" hidden="1" customWidth="1"/>
    <col min="6" max="6" width="21.42578125" style="393" hidden="1" customWidth="1"/>
    <col min="7" max="7" width="16.7109375" style="393" hidden="1" customWidth="1"/>
    <col min="8" max="8" width="15" style="393" hidden="1" customWidth="1"/>
    <col min="9" max="9" width="21.140625" style="393" hidden="1" customWidth="1"/>
    <col min="10" max="10" width="0" style="393" hidden="1" customWidth="1"/>
    <col min="11" max="16384" width="11.42578125" style="393"/>
  </cols>
  <sheetData>
    <row r="1" spans="1:19" ht="130.5" customHeight="1" thickBot="1" x14ac:dyDescent="0.3">
      <c r="A1" s="1307"/>
      <c r="B1" s="1307"/>
    </row>
    <row r="2" spans="1:19" ht="27" customHeight="1" thickBot="1" x14ac:dyDescent="0.3">
      <c r="A2" s="1308" t="s">
        <v>117</v>
      </c>
      <c r="B2" s="1309"/>
      <c r="F2" s="517"/>
      <c r="G2" s="517"/>
      <c r="H2" s="517"/>
      <c r="I2" s="517"/>
      <c r="J2" s="517"/>
      <c r="K2" s="517"/>
      <c r="L2" s="517"/>
      <c r="M2" s="517"/>
      <c r="N2" s="517"/>
      <c r="O2" s="517"/>
      <c r="P2" s="517"/>
      <c r="Q2" s="517"/>
      <c r="R2" s="517"/>
      <c r="S2" s="517"/>
    </row>
    <row r="3" spans="1:19" ht="24.75" customHeight="1" thickBot="1" x14ac:dyDescent="0.3">
      <c r="A3" s="1310" t="s">
        <v>118</v>
      </c>
      <c r="B3" s="1311"/>
      <c r="F3" s="517"/>
      <c r="G3" s="517"/>
      <c r="H3" s="517"/>
      <c r="I3" s="517"/>
      <c r="J3" s="517"/>
      <c r="K3" s="517"/>
      <c r="L3" s="517"/>
      <c r="M3" s="517"/>
      <c r="N3" s="517"/>
      <c r="O3" s="517"/>
      <c r="P3" s="517"/>
      <c r="Q3" s="517"/>
      <c r="R3" s="517"/>
      <c r="S3" s="517"/>
    </row>
    <row r="4" spans="1:19" x14ac:dyDescent="0.25">
      <c r="A4" s="394" t="s">
        <v>119</v>
      </c>
      <c r="B4" s="394" t="s">
        <v>120</v>
      </c>
      <c r="F4" s="517"/>
      <c r="G4" s="517"/>
      <c r="H4" s="517"/>
      <c r="I4" s="517"/>
      <c r="J4" s="517"/>
      <c r="K4" s="517"/>
      <c r="L4" s="517"/>
      <c r="M4" s="517"/>
      <c r="N4" s="517"/>
      <c r="O4" s="517"/>
      <c r="P4" s="517"/>
      <c r="Q4" s="517"/>
      <c r="R4" s="517"/>
      <c r="S4" s="517"/>
    </row>
    <row r="5" spans="1:19" ht="36" x14ac:dyDescent="0.25">
      <c r="A5" s="395" t="s">
        <v>121</v>
      </c>
      <c r="B5" s="396" t="s">
        <v>122</v>
      </c>
      <c r="F5" s="517"/>
      <c r="G5" s="517"/>
      <c r="H5" s="517"/>
      <c r="I5" s="517"/>
      <c r="J5" s="517"/>
      <c r="K5" s="517"/>
      <c r="L5" s="517"/>
      <c r="M5" s="517"/>
      <c r="N5" s="517"/>
      <c r="O5" s="517"/>
      <c r="P5" s="517"/>
      <c r="Q5" s="517"/>
      <c r="R5" s="517"/>
      <c r="S5" s="517"/>
    </row>
    <row r="6" spans="1:19" ht="34.5" customHeight="1" x14ac:dyDescent="0.25">
      <c r="A6" s="395" t="s">
        <v>123</v>
      </c>
      <c r="B6" s="396" t="s">
        <v>124</v>
      </c>
      <c r="F6" s="517"/>
      <c r="G6" s="517"/>
      <c r="H6" s="517"/>
      <c r="I6" s="517"/>
      <c r="J6" s="517"/>
      <c r="K6" s="517"/>
      <c r="L6" s="517"/>
      <c r="M6" s="517"/>
      <c r="N6" s="517"/>
      <c r="O6" s="517"/>
      <c r="P6" s="517"/>
      <c r="Q6" s="517"/>
      <c r="R6" s="517"/>
      <c r="S6" s="517"/>
    </row>
    <row r="7" spans="1:19" ht="24" customHeight="1" x14ac:dyDescent="0.25">
      <c r="A7" s="395" t="s">
        <v>125</v>
      </c>
      <c r="B7" s="396" t="s">
        <v>126</v>
      </c>
      <c r="F7" s="517"/>
      <c r="G7" s="517"/>
      <c r="H7" s="517"/>
      <c r="I7" s="517"/>
      <c r="J7" s="517"/>
      <c r="K7" s="517"/>
      <c r="L7" s="517"/>
      <c r="M7" s="517"/>
      <c r="N7" s="517"/>
      <c r="O7" s="517"/>
      <c r="P7" s="517"/>
      <c r="Q7" s="517"/>
      <c r="R7" s="517"/>
      <c r="S7" s="517"/>
    </row>
    <row r="8" spans="1:19" ht="32.25" customHeight="1" x14ac:dyDescent="0.25">
      <c r="A8" s="395" t="s">
        <v>127</v>
      </c>
      <c r="B8" s="396" t="s">
        <v>128</v>
      </c>
      <c r="F8" s="517"/>
      <c r="G8" s="517"/>
      <c r="H8" s="517"/>
      <c r="I8" s="517"/>
      <c r="J8" s="517"/>
      <c r="K8" s="517"/>
      <c r="L8" s="517"/>
      <c r="M8" s="517"/>
      <c r="N8" s="517"/>
      <c r="O8" s="517"/>
      <c r="P8" s="517"/>
      <c r="Q8" s="517"/>
      <c r="R8" s="517"/>
      <c r="S8" s="517"/>
    </row>
    <row r="9" spans="1:19" ht="32.25" customHeight="1" x14ac:dyDescent="0.25">
      <c r="A9" s="395" t="s">
        <v>129</v>
      </c>
      <c r="B9" s="396" t="s">
        <v>130</v>
      </c>
      <c r="F9" s="517"/>
      <c r="G9" s="517"/>
      <c r="H9" s="517"/>
      <c r="I9" s="517"/>
      <c r="J9" s="517"/>
      <c r="K9" s="517"/>
      <c r="L9" s="517"/>
      <c r="M9" s="517"/>
      <c r="N9" s="517"/>
      <c r="O9" s="517"/>
      <c r="P9" s="517"/>
      <c r="Q9" s="517"/>
      <c r="R9" s="517"/>
      <c r="S9" s="517"/>
    </row>
    <row r="10" spans="1:19" ht="49.5" customHeight="1" x14ac:dyDescent="0.25">
      <c r="A10" s="395" t="s">
        <v>131</v>
      </c>
      <c r="B10" s="396" t="s">
        <v>132</v>
      </c>
      <c r="F10" s="517"/>
      <c r="G10" s="517"/>
      <c r="H10" s="517"/>
      <c r="I10" s="517"/>
      <c r="J10" s="517"/>
      <c r="K10" s="517"/>
      <c r="L10" s="517"/>
      <c r="M10" s="517"/>
      <c r="N10" s="517"/>
      <c r="O10" s="517"/>
      <c r="P10" s="517"/>
      <c r="Q10" s="517"/>
      <c r="R10" s="517"/>
      <c r="S10" s="517"/>
    </row>
    <row r="11" spans="1:19" ht="21" customHeight="1" x14ac:dyDescent="0.25">
      <c r="A11" s="395" t="s">
        <v>133</v>
      </c>
      <c r="B11" s="396" t="s">
        <v>134</v>
      </c>
      <c r="F11" s="517"/>
      <c r="G11" s="517"/>
      <c r="H11" s="517"/>
      <c r="I11" s="517"/>
      <c r="J11" s="517"/>
      <c r="K11" s="517"/>
      <c r="L11" s="517"/>
      <c r="M11" s="517"/>
      <c r="N11" s="517"/>
      <c r="O11" s="517"/>
      <c r="P11" s="517"/>
      <c r="Q11" s="517"/>
      <c r="R11" s="517"/>
      <c r="S11" s="517"/>
    </row>
    <row r="12" spans="1:19" ht="21" customHeight="1" x14ac:dyDescent="0.25">
      <c r="A12" s="515" t="s">
        <v>135</v>
      </c>
      <c r="B12" s="396" t="s">
        <v>136</v>
      </c>
      <c r="F12" s="517"/>
      <c r="G12" s="517"/>
      <c r="H12" s="517"/>
      <c r="I12" s="517"/>
      <c r="J12" s="517"/>
      <c r="K12" s="517"/>
      <c r="L12" s="517"/>
      <c r="M12" s="517"/>
      <c r="N12" s="517"/>
      <c r="O12" s="517"/>
      <c r="P12" s="517"/>
      <c r="Q12" s="517"/>
      <c r="R12" s="517"/>
      <c r="S12" s="517"/>
    </row>
    <row r="13" spans="1:19" ht="21" customHeight="1" x14ac:dyDescent="0.25">
      <c r="A13" s="515" t="s">
        <v>66</v>
      </c>
      <c r="B13" s="396" t="s">
        <v>137</v>
      </c>
      <c r="F13" s="517"/>
      <c r="G13" s="517" t="s">
        <v>138</v>
      </c>
      <c r="H13" s="517" t="s">
        <v>75</v>
      </c>
      <c r="I13" s="517" t="s">
        <v>139</v>
      </c>
      <c r="J13" s="517"/>
      <c r="K13" s="517"/>
      <c r="L13" s="517"/>
      <c r="M13" s="517"/>
      <c r="N13" s="517"/>
      <c r="O13" s="517"/>
      <c r="P13" s="517"/>
      <c r="Q13" s="517"/>
      <c r="R13" s="517"/>
      <c r="S13" s="517"/>
    </row>
    <row r="14" spans="1:19" ht="21" customHeight="1" x14ac:dyDescent="0.25">
      <c r="A14" s="515" t="s">
        <v>67</v>
      </c>
      <c r="B14" s="396" t="s">
        <v>2071</v>
      </c>
      <c r="F14" s="517"/>
      <c r="G14" s="517" t="s">
        <v>140</v>
      </c>
      <c r="H14" s="517" t="s">
        <v>141</v>
      </c>
      <c r="I14" s="517" t="s">
        <v>142</v>
      </c>
      <c r="J14" s="517" t="s">
        <v>143</v>
      </c>
      <c r="K14" s="517"/>
      <c r="L14" s="517"/>
      <c r="M14" s="517"/>
      <c r="N14" s="517"/>
      <c r="O14" s="517"/>
      <c r="P14" s="517"/>
      <c r="Q14" s="517"/>
      <c r="R14" s="517"/>
      <c r="S14" s="517"/>
    </row>
    <row r="15" spans="1:19" ht="21" customHeight="1" x14ac:dyDescent="0.25">
      <c r="A15" s="515" t="s">
        <v>68</v>
      </c>
      <c r="B15" s="396" t="s">
        <v>144</v>
      </c>
      <c r="E15" s="393" t="s">
        <v>145</v>
      </c>
      <c r="F15" s="517" t="s">
        <v>146</v>
      </c>
      <c r="G15" s="517" t="s">
        <v>147</v>
      </c>
      <c r="H15" s="517" t="s">
        <v>148</v>
      </c>
      <c r="I15" s="517" t="s">
        <v>149</v>
      </c>
      <c r="J15" s="517"/>
      <c r="K15" s="517"/>
      <c r="L15" s="517"/>
      <c r="M15" s="517"/>
      <c r="N15" s="517"/>
      <c r="O15" s="517"/>
      <c r="P15" s="517"/>
      <c r="Q15" s="517"/>
      <c r="R15" s="517"/>
      <c r="S15" s="517"/>
    </row>
    <row r="16" spans="1:19" ht="21" customHeight="1" x14ac:dyDescent="0.25">
      <c r="A16" s="515" t="s">
        <v>69</v>
      </c>
      <c r="B16" s="396" t="s">
        <v>150</v>
      </c>
      <c r="F16" s="517"/>
      <c r="G16" s="517"/>
      <c r="H16" s="517"/>
      <c r="I16" s="517"/>
      <c r="J16" s="517"/>
      <c r="K16" s="517"/>
      <c r="L16" s="517"/>
      <c r="M16" s="517"/>
      <c r="N16" s="517"/>
      <c r="O16" s="517"/>
      <c r="P16" s="517"/>
      <c r="Q16" s="517"/>
      <c r="R16" s="517"/>
      <c r="S16" s="517"/>
    </row>
    <row r="17" spans="1:19" ht="21" customHeight="1" x14ac:dyDescent="0.25">
      <c r="A17" s="515" t="s">
        <v>70</v>
      </c>
      <c r="B17" s="516" t="s">
        <v>151</v>
      </c>
      <c r="F17" s="517"/>
      <c r="G17" s="517"/>
      <c r="H17" s="517"/>
      <c r="I17" s="517"/>
      <c r="J17" s="517"/>
      <c r="K17" s="517"/>
      <c r="L17" s="517"/>
      <c r="M17" s="517"/>
      <c r="N17" s="517"/>
      <c r="O17" s="517"/>
      <c r="P17" s="517"/>
      <c r="Q17" s="517"/>
      <c r="R17" s="517"/>
      <c r="S17" s="517"/>
    </row>
    <row r="18" spans="1:19" ht="21" customHeight="1" x14ac:dyDescent="0.25">
      <c r="A18" s="515" t="s">
        <v>71</v>
      </c>
      <c r="B18" s="396" t="s">
        <v>152</v>
      </c>
      <c r="F18" s="517"/>
      <c r="G18" s="517"/>
      <c r="H18" s="517"/>
      <c r="I18" s="517"/>
      <c r="J18" s="517"/>
      <c r="K18" s="517"/>
      <c r="L18" s="517"/>
      <c r="M18" s="517"/>
      <c r="N18" s="517"/>
      <c r="O18" s="517"/>
      <c r="P18" s="517"/>
      <c r="Q18" s="517"/>
      <c r="R18" s="517"/>
      <c r="S18" s="517"/>
    </row>
    <row r="19" spans="1:19" ht="21" customHeight="1" x14ac:dyDescent="0.25">
      <c r="A19" s="515" t="s">
        <v>72</v>
      </c>
      <c r="B19" s="396" t="s">
        <v>153</v>
      </c>
      <c r="F19" s="517"/>
      <c r="G19" s="517"/>
      <c r="H19" s="517"/>
      <c r="I19" s="517"/>
      <c r="J19" s="517"/>
      <c r="K19" s="517"/>
      <c r="L19" s="517"/>
      <c r="M19" s="517"/>
      <c r="N19" s="517"/>
      <c r="O19" s="517"/>
      <c r="P19" s="517"/>
      <c r="Q19" s="517"/>
      <c r="R19" s="517"/>
      <c r="S19" s="517"/>
    </row>
    <row r="20" spans="1:19" ht="40.5" customHeight="1" x14ac:dyDescent="0.25">
      <c r="A20" s="395" t="s">
        <v>154</v>
      </c>
      <c r="B20" s="396" t="s">
        <v>155</v>
      </c>
    </row>
    <row r="21" spans="1:19" ht="21.75" customHeight="1" x14ac:dyDescent="0.25">
      <c r="A21" s="395" t="s">
        <v>156</v>
      </c>
      <c r="B21" s="396" t="s">
        <v>157</v>
      </c>
    </row>
    <row r="22" spans="1:19" ht="21.75" customHeight="1" x14ac:dyDescent="0.25">
      <c r="A22" s="395" t="s">
        <v>158</v>
      </c>
      <c r="B22" s="396" t="s">
        <v>159</v>
      </c>
    </row>
    <row r="23" spans="1:19" ht="21" customHeight="1" x14ac:dyDescent="0.25">
      <c r="A23" s="395" t="s">
        <v>160</v>
      </c>
      <c r="B23" s="396" t="s">
        <v>2072</v>
      </c>
    </row>
    <row r="24" spans="1:19" ht="24.75" customHeight="1" x14ac:dyDescent="0.25">
      <c r="A24" s="395" t="s">
        <v>2073</v>
      </c>
      <c r="B24" s="396" t="s">
        <v>2078</v>
      </c>
    </row>
    <row r="25" spans="1:19" ht="24.75" customHeight="1" x14ac:dyDescent="0.25">
      <c r="A25" s="395" t="s">
        <v>73</v>
      </c>
      <c r="B25" s="396" t="s">
        <v>161</v>
      </c>
    </row>
    <row r="26" spans="1:19" ht="22.5" customHeight="1" x14ac:dyDescent="0.25">
      <c r="A26" s="395" t="s">
        <v>162</v>
      </c>
      <c r="B26" s="396" t="s">
        <v>163</v>
      </c>
    </row>
    <row r="27" spans="1:19" ht="39" customHeight="1" x14ac:dyDescent="0.25">
      <c r="A27" s="395" t="s">
        <v>164</v>
      </c>
      <c r="B27" s="396" t="s">
        <v>165</v>
      </c>
    </row>
    <row r="28" spans="1:19" ht="22.5" customHeight="1" x14ac:dyDescent="0.25">
      <c r="A28" s="395" t="s">
        <v>166</v>
      </c>
      <c r="B28" s="396" t="s">
        <v>2074</v>
      </c>
    </row>
    <row r="29" spans="1:19" ht="21.75" customHeight="1" x14ac:dyDescent="0.25">
      <c r="A29" s="395" t="s">
        <v>74</v>
      </c>
      <c r="B29" s="396" t="s">
        <v>167</v>
      </c>
    </row>
    <row r="30" spans="1:19" ht="25.5" customHeight="1" x14ac:dyDescent="0.25">
      <c r="A30" s="395" t="s">
        <v>168</v>
      </c>
      <c r="B30" s="396" t="s">
        <v>2075</v>
      </c>
    </row>
    <row r="31" spans="1:19" ht="25.5" customHeight="1" x14ac:dyDescent="0.25">
      <c r="A31" s="395" t="s">
        <v>169</v>
      </c>
      <c r="B31" s="396" t="s">
        <v>2076</v>
      </c>
    </row>
    <row r="32" spans="1:19" ht="25.5" customHeight="1" x14ac:dyDescent="0.25">
      <c r="A32" s="395" t="s">
        <v>170</v>
      </c>
      <c r="B32" s="516" t="s">
        <v>171</v>
      </c>
    </row>
    <row r="33" spans="1:2" ht="25.5" customHeight="1" x14ac:dyDescent="0.25">
      <c r="A33" s="395" t="s">
        <v>172</v>
      </c>
      <c r="B33" s="516" t="s">
        <v>173</v>
      </c>
    </row>
    <row r="34" spans="1:2" ht="21" customHeight="1" x14ac:dyDescent="0.25">
      <c r="A34" s="395" t="s">
        <v>174</v>
      </c>
      <c r="B34" s="396" t="s">
        <v>175</v>
      </c>
    </row>
    <row r="35" spans="1:2" ht="98.25" customHeight="1" x14ac:dyDescent="0.25">
      <c r="A35" s="395" t="s">
        <v>176</v>
      </c>
      <c r="B35" s="396" t="s">
        <v>177</v>
      </c>
    </row>
    <row r="36" spans="1:2" ht="18" x14ac:dyDescent="0.25">
      <c r="A36" s="395" t="s">
        <v>178</v>
      </c>
      <c r="B36" s="396" t="s">
        <v>2077</v>
      </c>
    </row>
    <row r="37" spans="1:2" ht="18" x14ac:dyDescent="0.25">
      <c r="A37" s="395" t="s">
        <v>179</v>
      </c>
      <c r="B37" s="396" t="s">
        <v>180</v>
      </c>
    </row>
    <row r="38" spans="1:2" ht="18" x14ac:dyDescent="0.25">
      <c r="A38" s="546" t="s">
        <v>181</v>
      </c>
      <c r="B38" s="547" t="s">
        <v>182</v>
      </c>
    </row>
    <row r="39" spans="1:2" x14ac:dyDescent="0.25">
      <c r="A39" s="546" t="s">
        <v>183</v>
      </c>
      <c r="B39" s="547" t="s">
        <v>184</v>
      </c>
    </row>
    <row r="40" spans="1:2" ht="13.5" thickBot="1" x14ac:dyDescent="0.3">
      <c r="A40" s="397" t="s">
        <v>185</v>
      </c>
      <c r="B40" s="398" t="s">
        <v>186</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C28"/>
  <sheetViews>
    <sheetView showGridLines="0" zoomScale="98" zoomScaleNormal="98" workbookViewId="0">
      <selection activeCell="C19" sqref="C19"/>
    </sheetView>
  </sheetViews>
  <sheetFormatPr baseColWidth="10" defaultColWidth="10.7109375" defaultRowHeight="15" x14ac:dyDescent="0.25"/>
  <cols>
    <col min="1" max="1" width="8.140625" bestFit="1" customWidth="1"/>
    <col min="2" max="2" width="12.85546875" bestFit="1" customWidth="1"/>
    <col min="3" max="3" width="68.85546875" customWidth="1"/>
  </cols>
  <sheetData>
    <row r="1" spans="1:3" x14ac:dyDescent="0.25">
      <c r="A1" s="379" t="s">
        <v>883</v>
      </c>
    </row>
    <row r="3" spans="1:3" x14ac:dyDescent="0.25">
      <c r="B3" s="174" t="s">
        <v>2067</v>
      </c>
    </row>
    <row r="5" spans="1:3" x14ac:dyDescent="0.25">
      <c r="B5" s="130"/>
      <c r="C5" s="173"/>
    </row>
    <row r="6" spans="1:3" x14ac:dyDescent="0.25">
      <c r="A6" s="159" t="s">
        <v>2068</v>
      </c>
      <c r="B6" s="159" t="s">
        <v>843</v>
      </c>
      <c r="C6" s="159" t="s">
        <v>2069</v>
      </c>
    </row>
    <row r="7" spans="1:3" x14ac:dyDescent="0.25">
      <c r="A7" s="377"/>
      <c r="B7" s="377"/>
      <c r="C7" s="378"/>
    </row>
    <row r="8" spans="1:3" x14ac:dyDescent="0.25">
      <c r="A8" s="377"/>
      <c r="B8" s="377"/>
      <c r="C8" s="378"/>
    </row>
    <row r="9" spans="1:3" x14ac:dyDescent="0.25">
      <c r="A9" s="377"/>
      <c r="B9" s="377"/>
      <c r="C9" s="378"/>
    </row>
    <row r="10" spans="1:3" x14ac:dyDescent="0.25">
      <c r="A10" s="377"/>
      <c r="B10" s="377"/>
      <c r="C10" s="378"/>
    </row>
    <row r="11" spans="1:3" x14ac:dyDescent="0.25">
      <c r="A11" s="377"/>
      <c r="B11" s="377"/>
      <c r="C11" s="378"/>
    </row>
    <row r="12" spans="1:3" x14ac:dyDescent="0.25">
      <c r="A12" s="377"/>
      <c r="B12" s="377"/>
      <c r="C12" s="378"/>
    </row>
    <row r="13" spans="1:3" x14ac:dyDescent="0.25">
      <c r="A13" s="377"/>
      <c r="B13" s="377"/>
      <c r="C13" s="378"/>
    </row>
    <row r="14" spans="1:3" x14ac:dyDescent="0.25">
      <c r="A14" s="377"/>
      <c r="B14" s="377"/>
      <c r="C14" s="378"/>
    </row>
    <row r="15" spans="1:3" x14ac:dyDescent="0.25">
      <c r="A15" s="377"/>
      <c r="B15" s="377"/>
      <c r="C15" s="378"/>
    </row>
    <row r="16" spans="1:3" x14ac:dyDescent="0.25">
      <c r="A16" s="377"/>
      <c r="B16" s="377"/>
      <c r="C16" s="378"/>
    </row>
    <row r="17" spans="1:3" x14ac:dyDescent="0.25">
      <c r="A17" s="377"/>
      <c r="B17" s="377"/>
      <c r="C17" s="378"/>
    </row>
    <row r="18" spans="1:3" x14ac:dyDescent="0.25">
      <c r="A18" s="377"/>
      <c r="B18" s="377"/>
      <c r="C18" s="378"/>
    </row>
    <row r="19" spans="1:3" x14ac:dyDescent="0.25">
      <c r="A19" s="377"/>
      <c r="B19" s="377"/>
      <c r="C19" s="378"/>
    </row>
    <row r="20" spans="1:3" x14ac:dyDescent="0.25">
      <c r="A20" s="377"/>
      <c r="B20" s="377"/>
      <c r="C20" s="378"/>
    </row>
    <row r="21" spans="1:3" x14ac:dyDescent="0.25">
      <c r="A21" s="377"/>
      <c r="B21" s="377"/>
      <c r="C21" s="378"/>
    </row>
    <row r="22" spans="1:3" x14ac:dyDescent="0.25">
      <c r="A22" s="377"/>
      <c r="B22" s="377"/>
      <c r="C22" s="378"/>
    </row>
    <row r="23" spans="1:3" x14ac:dyDescent="0.25">
      <c r="A23" s="377"/>
      <c r="B23" s="377"/>
      <c r="C23" s="378"/>
    </row>
    <row r="24" spans="1:3" x14ac:dyDescent="0.25">
      <c r="A24" s="377"/>
      <c r="B24" s="377"/>
      <c r="C24" s="378"/>
    </row>
    <row r="25" spans="1:3" x14ac:dyDescent="0.25">
      <c r="A25" s="377"/>
      <c r="B25" s="377"/>
      <c r="C25" s="378"/>
    </row>
    <row r="26" spans="1:3" x14ac:dyDescent="0.25">
      <c r="A26" s="377"/>
      <c r="B26" s="377"/>
      <c r="C26" s="378"/>
    </row>
    <row r="27" spans="1:3" x14ac:dyDescent="0.25">
      <c r="A27" s="377"/>
      <c r="B27" s="377"/>
      <c r="C27" s="378"/>
    </row>
    <row r="28" spans="1:3" x14ac:dyDescent="0.25">
      <c r="A28" s="377"/>
      <c r="B28" s="377"/>
      <c r="C28" s="378"/>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hyperlinks>
  <pageMargins left="0.7" right="0.7" top="0.75" bottom="0.75" header="0.3" footer="0.3"/>
  <pageSetup paperSize="178" orientation="portrait" horizontalDpi="1200" verticalDpi="12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I42"/>
  <sheetViews>
    <sheetView workbookViewId="0">
      <selection activeCell="B3" sqref="B3"/>
    </sheetView>
  </sheetViews>
  <sheetFormatPr baseColWidth="10" defaultColWidth="10.7109375" defaultRowHeight="15" x14ac:dyDescent="0.25"/>
  <cols>
    <col min="1" max="1" width="3.42578125" bestFit="1" customWidth="1"/>
    <col min="2" max="2" width="42.85546875" customWidth="1"/>
    <col min="3" max="3" width="1" customWidth="1"/>
    <col min="6" max="6" width="11.140625" customWidth="1"/>
    <col min="9" max="9" width="11.42578125"/>
  </cols>
  <sheetData>
    <row r="1" spans="1:9" x14ac:dyDescent="0.25">
      <c r="A1" s="356" t="s">
        <v>883</v>
      </c>
    </row>
    <row r="2" spans="1:9" x14ac:dyDescent="0.25">
      <c r="B2" t="s">
        <v>2070</v>
      </c>
    </row>
    <row r="3" spans="1:9" x14ac:dyDescent="0.25">
      <c r="C3" t="s">
        <v>849</v>
      </c>
    </row>
    <row r="5" spans="1:9" x14ac:dyDescent="0.25">
      <c r="A5" s="197" t="s">
        <v>850</v>
      </c>
      <c r="B5" s="197" t="s">
        <v>81</v>
      </c>
      <c r="C5" t="s">
        <v>849</v>
      </c>
      <c r="D5" s="316">
        <f>IF(SUM('1POMCAS'!E63:E65)=1,SUM('1POMCAS'!E63:E65),"ERROR: LA SUMA DE LA COLUMNA DEBE SER 100%")</f>
        <v>1</v>
      </c>
      <c r="E5" s="317" t="str">
        <f ca="1">IF(+'1POMCAS'!G63*'1POMCAS'!$E63+'1POMCAS'!G64*'1POMCAS'!$E64+'1POMCAS'!G65*'1POMCAS'!$E65=0,"N.A.",'1POMCAS'!G63*'1POMCAS'!$E63+'1POMCAS'!G64*'1POMCAS'!$E64+'1POMCAS'!G65*'1POMCAS'!$E65)</f>
        <v>N.A.</v>
      </c>
      <c r="F5" s="317" t="str">
        <f ca="1">IF(+'1POMCAS'!H63*'1POMCAS'!$E63+'1POMCAS'!H64*'1POMCAS'!$E64+'1POMCAS'!H65*'1POMCAS'!$E65=0,"N.A.",'1POMCAS'!H63*'1POMCAS'!$E63+'1POMCAS'!H64*'1POMCAS'!$E64+'1POMCAS'!H65*'1POMCAS'!$E65)</f>
        <v>N.A.</v>
      </c>
      <c r="G5" s="317" t="str">
        <f ca="1">IF(+'1POMCAS'!I63*'1POMCAS'!$E63+'1POMCAS'!I64*'1POMCAS'!$E64+'1POMCAS'!I65*'1POMCAS'!$E65=0,"N.A.",'1POMCAS'!I63*'1POMCAS'!$E63+'1POMCAS'!I64*'1POMCAS'!$E64+'1POMCAS'!I65*'1POMCAS'!$E65)</f>
        <v>N.A.</v>
      </c>
      <c r="H5" s="317" t="str">
        <f ca="1">IF(+'1POMCAS'!J63*'1POMCAS'!$E63+'1POMCAS'!J64*'1POMCAS'!$E64+'1POMCAS'!J65*'1POMCAS'!$E65=0,"N.A.",'1POMCAS'!J63*'1POMCAS'!$E63+'1POMCAS'!J64*'1POMCAS'!$E64+'1POMCAS'!J65*'1POMCAS'!$E65)</f>
        <v>N.A.</v>
      </c>
      <c r="I5" s="317"/>
    </row>
    <row r="6" spans="1:9" x14ac:dyDescent="0.25">
      <c r="A6" s="197" t="s">
        <v>851</v>
      </c>
      <c r="B6" s="197" t="s">
        <v>83</v>
      </c>
      <c r="C6" t="s">
        <v>849</v>
      </c>
      <c r="D6" s="318"/>
      <c r="E6" s="318"/>
      <c r="F6" s="318"/>
      <c r="G6" s="318"/>
      <c r="H6" s="318"/>
      <c r="I6" s="318"/>
    </row>
    <row r="7" spans="1:9" x14ac:dyDescent="0.25">
      <c r="A7" s="197" t="s">
        <v>852</v>
      </c>
      <c r="B7" s="197" t="s">
        <v>85</v>
      </c>
      <c r="C7" t="s">
        <v>849</v>
      </c>
      <c r="D7" s="318"/>
      <c r="E7" s="318"/>
      <c r="F7" s="318"/>
      <c r="G7" s="318"/>
      <c r="H7" s="318"/>
      <c r="I7" s="318"/>
    </row>
    <row r="8" spans="1:9" x14ac:dyDescent="0.25">
      <c r="A8" s="197" t="s">
        <v>853</v>
      </c>
      <c r="B8" s="197" t="s">
        <v>87</v>
      </c>
      <c r="C8" t="s">
        <v>849</v>
      </c>
      <c r="D8" s="318"/>
      <c r="E8" s="318"/>
      <c r="F8" s="318"/>
      <c r="G8" s="318"/>
      <c r="H8" s="318"/>
      <c r="I8" s="318"/>
    </row>
    <row r="9" spans="1:9" x14ac:dyDescent="0.25">
      <c r="A9" s="197" t="s">
        <v>854</v>
      </c>
      <c r="B9" s="197" t="s">
        <v>89</v>
      </c>
      <c r="C9" t="s">
        <v>849</v>
      </c>
      <c r="D9" s="318"/>
      <c r="E9" s="318"/>
      <c r="F9" s="318"/>
      <c r="G9" s="318"/>
      <c r="H9" s="318"/>
      <c r="I9" s="318"/>
    </row>
    <row r="10" spans="1:9" x14ac:dyDescent="0.25">
      <c r="A10" s="197" t="s">
        <v>855</v>
      </c>
      <c r="B10" s="197" t="s">
        <v>91</v>
      </c>
      <c r="C10" t="s">
        <v>849</v>
      </c>
      <c r="D10" s="318"/>
      <c r="E10" s="318"/>
      <c r="F10" s="318"/>
      <c r="G10" s="318"/>
      <c r="H10" s="318"/>
      <c r="I10" s="318"/>
    </row>
    <row r="11" spans="1:9" x14ac:dyDescent="0.25">
      <c r="A11" s="197" t="s">
        <v>856</v>
      </c>
      <c r="B11" s="197" t="s">
        <v>93</v>
      </c>
      <c r="C11" t="s">
        <v>849</v>
      </c>
      <c r="D11" s="318"/>
      <c r="E11" s="318"/>
      <c r="F11" s="318"/>
      <c r="G11" s="318"/>
      <c r="H11" s="318"/>
      <c r="I11" s="318"/>
    </row>
    <row r="12" spans="1:9" x14ac:dyDescent="0.25">
      <c r="A12" s="197" t="s">
        <v>857</v>
      </c>
      <c r="B12" s="197" t="s">
        <v>95</v>
      </c>
      <c r="C12" t="s">
        <v>849</v>
      </c>
      <c r="D12" s="318"/>
      <c r="E12" s="318"/>
      <c r="F12" s="318"/>
      <c r="G12" s="318"/>
      <c r="H12" s="318"/>
      <c r="I12" s="318"/>
    </row>
    <row r="13" spans="1:9" x14ac:dyDescent="0.25">
      <c r="A13" s="197" t="s">
        <v>858</v>
      </c>
      <c r="B13" s="197" t="s">
        <v>97</v>
      </c>
      <c r="C13" t="s">
        <v>849</v>
      </c>
      <c r="D13" s="318"/>
      <c r="E13" s="318"/>
      <c r="F13" s="318"/>
      <c r="G13" s="318"/>
      <c r="H13" s="318"/>
      <c r="I13" s="318"/>
    </row>
    <row r="14" spans="1:9" x14ac:dyDescent="0.25">
      <c r="A14" s="197" t="s">
        <v>859</v>
      </c>
      <c r="B14" s="197" t="s">
        <v>99</v>
      </c>
      <c r="C14" t="s">
        <v>849</v>
      </c>
      <c r="D14" s="319"/>
      <c r="E14" s="319"/>
      <c r="F14" s="319"/>
      <c r="G14" s="319"/>
      <c r="H14" s="319"/>
      <c r="I14" s="319"/>
    </row>
    <row r="15" spans="1:9" x14ac:dyDescent="0.25">
      <c r="A15" s="197" t="s">
        <v>860</v>
      </c>
      <c r="B15" s="197" t="s">
        <v>100</v>
      </c>
      <c r="C15" t="s">
        <v>849</v>
      </c>
      <c r="D15" s="294">
        <f>IF(SUM('11Forest'!E26:E29)='11Forest'!E20,SUM('11Forest'!E26:E29),"ERROR: LA SUMA DE LA COLUMNA DEBE SER IGUAL A LA META ANUAL")</f>
        <v>0</v>
      </c>
      <c r="E15" s="294">
        <f>IF(SUM('11Forest'!F26:F29)='11Forest'!E20,SUM('11Forest'!F26:F29),"ERROR: LA SUMA DE LA COLUMNA DEBE SER IGUAL A LA META ANUAL")</f>
        <v>0</v>
      </c>
      <c r="F15" s="294">
        <f>IF(SUM('11Forest'!G26:G29)='11Forest'!E20,SUM('11Forest'!G26:G29),"ERROR: LA SUMA DE LA COLUMNA DEBE SER IGUAL A LA META ANUAL")</f>
        <v>0</v>
      </c>
      <c r="G15" s="294">
        <f>IF(SUM('11Forest'!H26:H29)='11Forest'!E20,SUM('11Forest'!H26:H29),"ERROR: LA SUMA DE LA COLUMNA DEBE SER IGUAL A LA META ANUAL")</f>
        <v>0</v>
      </c>
      <c r="H15" s="294"/>
      <c r="I15" s="294">
        <f>IF(SUM('11Forest'!E25:H25)='11Forest'!E20,SUM('11Forest'!E25:H25),"ERROR: LA SUMA DE LA COLUMNA DEBE SER IGUAL A LA META ANUAL")</f>
        <v>0</v>
      </c>
    </row>
    <row r="16" spans="1:9" x14ac:dyDescent="0.25">
      <c r="A16" s="197" t="s">
        <v>861</v>
      </c>
      <c r="B16" s="197" t="s">
        <v>101</v>
      </c>
      <c r="C16" t="s">
        <v>849</v>
      </c>
      <c r="D16" s="320"/>
      <c r="E16" s="320"/>
      <c r="F16" s="320"/>
      <c r="G16" s="320"/>
      <c r="H16" s="320"/>
      <c r="I16" s="320"/>
    </row>
    <row r="17" spans="1:9" x14ac:dyDescent="0.25">
      <c r="A17" s="197" t="s">
        <v>862</v>
      </c>
      <c r="B17" s="197" t="s">
        <v>102</v>
      </c>
      <c r="C17" t="s">
        <v>849</v>
      </c>
      <c r="D17" s="318"/>
      <c r="E17" s="318"/>
      <c r="F17" s="318"/>
      <c r="G17" s="318"/>
      <c r="H17" s="318"/>
      <c r="I17" s="318"/>
    </row>
    <row r="18" spans="1:9" x14ac:dyDescent="0.25">
      <c r="A18" s="197" t="s">
        <v>863</v>
      </c>
      <c r="B18" s="197" t="s">
        <v>103</v>
      </c>
      <c r="C18" t="s">
        <v>849</v>
      </c>
      <c r="D18" s="318"/>
      <c r="E18" s="318"/>
      <c r="F18" s="318"/>
      <c r="G18" s="318"/>
      <c r="H18" s="318"/>
      <c r="I18" s="318"/>
    </row>
    <row r="19" spans="1:9" x14ac:dyDescent="0.25">
      <c r="A19" s="197" t="s">
        <v>864</v>
      </c>
      <c r="B19" s="197" t="s">
        <v>104</v>
      </c>
      <c r="C19" t="s">
        <v>849</v>
      </c>
      <c r="D19" s="318"/>
      <c r="E19" s="318"/>
      <c r="F19" s="318"/>
      <c r="G19" s="318"/>
      <c r="H19" s="318"/>
      <c r="I19" s="318"/>
    </row>
    <row r="20" spans="1:9" x14ac:dyDescent="0.25">
      <c r="A20" s="197" t="s">
        <v>865</v>
      </c>
      <c r="B20" s="197" t="s">
        <v>105</v>
      </c>
      <c r="C20" t="s">
        <v>849</v>
      </c>
      <c r="D20" s="316">
        <f>IF(SUM('16MIZC'!H22:H29)=1,SUM('16MIZC'!H22:H29),"ERROR: LA SUMA DE LA COLUMNA DEBE SER 100%")</f>
        <v>1</v>
      </c>
      <c r="E20" s="321">
        <f>SUM('16MIZC'!I22:I29)</f>
        <v>0</v>
      </c>
      <c r="F20" s="318"/>
      <c r="G20" s="318"/>
      <c r="H20" s="318"/>
      <c r="I20" s="318"/>
    </row>
    <row r="21" spans="1:9" x14ac:dyDescent="0.25">
      <c r="A21" s="197" t="s">
        <v>866</v>
      </c>
      <c r="B21" s="197" t="s">
        <v>106</v>
      </c>
      <c r="C21" t="s">
        <v>849</v>
      </c>
      <c r="D21" s="318"/>
      <c r="E21" s="318"/>
      <c r="F21" s="318"/>
      <c r="G21" s="318"/>
      <c r="H21" s="318"/>
      <c r="I21" s="318"/>
    </row>
    <row r="22" spans="1:9" x14ac:dyDescent="0.25">
      <c r="A22" s="197" t="s">
        <v>867</v>
      </c>
      <c r="B22" s="197" t="s">
        <v>107</v>
      </c>
      <c r="C22" t="s">
        <v>849</v>
      </c>
      <c r="D22" s="316" t="str">
        <f>IF(SUM('18Sector'!D33:D40)=1,SUM('18Sector'!D33:D40),"ERROR: LA SUMA DE LA COLUMNA DEBE SER 100%")</f>
        <v>ERROR: LA SUMA DE LA COLUMNA DEBE SER 100%</v>
      </c>
      <c r="E22" s="318"/>
      <c r="F22" s="318"/>
      <c r="G22" s="318"/>
      <c r="H22" s="318"/>
      <c r="I22" s="318"/>
    </row>
    <row r="23" spans="1:9" x14ac:dyDescent="0.25">
      <c r="A23" s="197" t="s">
        <v>868</v>
      </c>
      <c r="B23" s="197" t="s">
        <v>108</v>
      </c>
      <c r="C23" t="s">
        <v>849</v>
      </c>
      <c r="D23" s="316">
        <f>IF(SUM('19GAU'!H23:H25)=1,SUM('19GAU'!H23:H25),"ERROR: LA SUMA DE LA COLUMNA DEBE SER 100%")</f>
        <v>1</v>
      </c>
      <c r="E23" s="321">
        <f>SUM('19GAU'!I22:I25)</f>
        <v>1</v>
      </c>
      <c r="F23" s="318"/>
      <c r="G23" s="318"/>
      <c r="H23" s="318"/>
      <c r="I23" s="318"/>
    </row>
    <row r="24" spans="1:9" x14ac:dyDescent="0.25">
      <c r="A24" s="197" t="s">
        <v>869</v>
      </c>
      <c r="B24" s="197" t="s">
        <v>109</v>
      </c>
      <c r="C24" t="s">
        <v>849</v>
      </c>
      <c r="D24" s="316">
        <f>IF(SUM('20Negoc'!D36:D41)=1,SUM('20Negoc'!D36:D41),"ERROR: LA SUMA DE LA COLUMNA DEBE SER 100%")</f>
        <v>1</v>
      </c>
      <c r="E24" s="322">
        <f>+'20Negoc'!J30/'20Negoc'!I30</f>
        <v>0.99995206602613085</v>
      </c>
      <c r="F24" s="322">
        <f>+'20Negoc'!K30/'20Negoc'!J30</f>
        <v>0.90649603604795492</v>
      </c>
      <c r="G24" s="318"/>
      <c r="H24" s="318"/>
      <c r="I24" s="318"/>
    </row>
    <row r="25" spans="1:9" x14ac:dyDescent="0.25">
      <c r="A25" s="197" t="s">
        <v>870</v>
      </c>
      <c r="B25" s="197" t="s">
        <v>110</v>
      </c>
      <c r="C25" t="s">
        <v>849</v>
      </c>
      <c r="D25" s="318"/>
      <c r="E25" s="318"/>
      <c r="F25" s="318"/>
      <c r="G25" s="318"/>
      <c r="H25" s="318"/>
      <c r="I25" s="318"/>
    </row>
    <row r="26" spans="1:9" x14ac:dyDescent="0.25">
      <c r="A26" s="197" t="s">
        <v>871</v>
      </c>
      <c r="B26" s="197" t="s">
        <v>111</v>
      </c>
      <c r="C26" t="s">
        <v>849</v>
      </c>
      <c r="D26" s="316">
        <f>IF(SUM('22Autor'!F109:F113)=1,SUM('22Autor'!F109:F113),"ERROR: LA SUMA DE LA COLUMNA DEBE SER 100%")</f>
        <v>1</v>
      </c>
      <c r="E26" s="318"/>
      <c r="F26" s="318"/>
      <c r="G26" s="318"/>
      <c r="H26" s="318"/>
      <c r="I26" s="318"/>
    </row>
    <row r="27" spans="1:9" x14ac:dyDescent="0.25">
      <c r="A27" s="197" t="s">
        <v>872</v>
      </c>
      <c r="B27" s="197" t="s">
        <v>112</v>
      </c>
      <c r="C27" t="s">
        <v>849</v>
      </c>
      <c r="D27" s="318"/>
      <c r="E27" s="318"/>
      <c r="F27" s="318"/>
      <c r="G27" s="318"/>
      <c r="H27" s="318"/>
      <c r="I27" s="318"/>
    </row>
    <row r="28" spans="1:9" ht="15.75" thickBot="1" x14ac:dyDescent="0.3">
      <c r="A28" s="197" t="s">
        <v>873</v>
      </c>
      <c r="B28" s="197" t="s">
        <v>113</v>
      </c>
      <c r="C28" t="s">
        <v>849</v>
      </c>
      <c r="D28" s="318"/>
      <c r="E28" s="318"/>
      <c r="F28" s="318"/>
      <c r="G28" s="318"/>
      <c r="H28" s="318"/>
      <c r="I28" s="318"/>
    </row>
    <row r="29" spans="1:9" ht="15.75" thickBot="1" x14ac:dyDescent="0.3">
      <c r="A29" s="197" t="s">
        <v>874</v>
      </c>
      <c r="B29" s="197" t="s">
        <v>114</v>
      </c>
      <c r="C29" t="s">
        <v>849</v>
      </c>
      <c r="D29" s="307" t="str">
        <f>IF(SUM('25Redes'!F79:F80)=1,"","ERROR: LA SUMA DE LAS PONDERACIONES DEBE SER 100%")</f>
        <v/>
      </c>
      <c r="E29" s="316">
        <f>+'25Redes'!E79*'25Redes'!F79+'25Redes'!E80*'25Redes'!F80</f>
        <v>1</v>
      </c>
      <c r="F29" s="318"/>
      <c r="G29" s="318"/>
      <c r="H29" s="318"/>
      <c r="I29" s="318"/>
    </row>
    <row r="30" spans="1:9" x14ac:dyDescent="0.25">
      <c r="A30" s="197" t="s">
        <v>875</v>
      </c>
      <c r="B30" s="197" t="s">
        <v>115</v>
      </c>
      <c r="C30" t="s">
        <v>849</v>
      </c>
      <c r="D30" s="318"/>
      <c r="E30" s="318"/>
      <c r="F30" s="318"/>
      <c r="G30" s="318"/>
      <c r="H30" s="318"/>
      <c r="I30" s="318"/>
    </row>
    <row r="31" spans="1:9" x14ac:dyDescent="0.25">
      <c r="A31" s="197" t="s">
        <v>876</v>
      </c>
      <c r="B31" s="197" t="s">
        <v>116</v>
      </c>
      <c r="C31" t="s">
        <v>849</v>
      </c>
      <c r="D31" s="316">
        <f>IF(SUM('27Educa'!D36:D41)=1,SUM('27Educa'!D36:D41),"ERROR: LA SUMA DE LA COLUMNA DEBE SER 100%")</f>
        <v>1</v>
      </c>
      <c r="E31" s="318"/>
      <c r="F31" s="318"/>
      <c r="G31" s="318"/>
      <c r="H31" s="318"/>
      <c r="I31" s="318"/>
    </row>
    <row r="32" spans="1:9" x14ac:dyDescent="0.25">
      <c r="C32" t="s">
        <v>849</v>
      </c>
    </row>
    <row r="33" spans="3:6" x14ac:dyDescent="0.25">
      <c r="C33" t="s">
        <v>849</v>
      </c>
      <c r="D33" s="357" t="s">
        <v>885</v>
      </c>
      <c r="F33" s="361" t="s">
        <v>886</v>
      </c>
    </row>
    <row r="34" spans="3:6" x14ac:dyDescent="0.25">
      <c r="C34" t="s">
        <v>849</v>
      </c>
      <c r="D34" s="357" t="s">
        <v>1280</v>
      </c>
      <c r="F34" s="361" t="s">
        <v>1307</v>
      </c>
    </row>
    <row r="35" spans="3:6" x14ac:dyDescent="0.25">
      <c r="C35" t="s">
        <v>849</v>
      </c>
    </row>
    <row r="36" spans="3:6" x14ac:dyDescent="0.25">
      <c r="C36" t="s">
        <v>849</v>
      </c>
    </row>
    <row r="37" spans="3:6" x14ac:dyDescent="0.25">
      <c r="C37" t="s">
        <v>849</v>
      </c>
    </row>
    <row r="38" spans="3:6" x14ac:dyDescent="0.25">
      <c r="C38" t="s">
        <v>849</v>
      </c>
    </row>
    <row r="39" spans="3:6" x14ac:dyDescent="0.25">
      <c r="C39" t="s">
        <v>849</v>
      </c>
    </row>
    <row r="40" spans="3:6" x14ac:dyDescent="0.25">
      <c r="C40" t="s">
        <v>849</v>
      </c>
    </row>
    <row r="41" spans="3:6" x14ac:dyDescent="0.25">
      <c r="C41" t="s">
        <v>849</v>
      </c>
    </row>
    <row r="42" spans="3:6" x14ac:dyDescent="0.25">
      <c r="C42" t="s">
        <v>849</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31">
    <cfRule type="containsText" dxfId="11" priority="12" operator="containsText" text="ERROR">
      <formula>NOT(ISERROR(SEARCH("ERROR",D31)))</formula>
    </cfRule>
  </conditionalFormatting>
  <conditionalFormatting sqref="D5">
    <cfRule type="containsText" dxfId="10" priority="11" operator="containsText" text="ERROR">
      <formula>NOT(ISERROR(SEARCH("ERROR",D5)))</formula>
    </cfRule>
  </conditionalFormatting>
  <conditionalFormatting sqref="D20">
    <cfRule type="containsText" dxfId="9" priority="10" operator="containsText" text="ERROR">
      <formula>NOT(ISERROR(SEARCH("ERROR",D20)))</formula>
    </cfRule>
  </conditionalFormatting>
  <conditionalFormatting sqref="D22">
    <cfRule type="containsText" dxfId="8" priority="9" operator="containsText" text="ERROR">
      <formula>NOT(ISERROR(SEARCH("ERROR",D22)))</formula>
    </cfRule>
  </conditionalFormatting>
  <conditionalFormatting sqref="D23">
    <cfRule type="containsText" dxfId="7" priority="8" operator="containsText" text="ERROR">
      <formula>NOT(ISERROR(SEARCH("ERROR",D23)))</formula>
    </cfRule>
  </conditionalFormatting>
  <conditionalFormatting sqref="D24">
    <cfRule type="containsText" dxfId="6" priority="7" operator="containsText" text="ERROR">
      <formula>NOT(ISERROR(SEARCH("ERROR",D24)))</formula>
    </cfRule>
  </conditionalFormatting>
  <conditionalFormatting sqref="D15">
    <cfRule type="containsText" dxfId="5" priority="6" operator="containsText" text="ERROR">
      <formula>NOT(ISERROR(SEARCH("ERROR",D15)))</formula>
    </cfRule>
  </conditionalFormatting>
  <conditionalFormatting sqref="H15">
    <cfRule type="containsText" dxfId="4" priority="4" operator="containsText" text="ERROR">
      <formula>NOT(ISERROR(SEARCH("ERROR",H15)))</formula>
    </cfRule>
  </conditionalFormatting>
  <conditionalFormatting sqref="E15:G15">
    <cfRule type="containsText" dxfId="3" priority="5" operator="containsText" text="ERROR">
      <formula>NOT(ISERROR(SEARCH("ERROR",E15)))</formula>
    </cfRule>
  </conditionalFormatting>
  <conditionalFormatting sqref="D29">
    <cfRule type="containsText" dxfId="2" priority="3" operator="containsText" text="ERROR">
      <formula>NOT(ISERROR(SEARCH("ERROR",D29)))</formula>
    </cfRule>
  </conditionalFormatting>
  <conditionalFormatting sqref="D26">
    <cfRule type="containsText" dxfId="1" priority="2" operator="containsText" text="ERROR">
      <formula>NOT(ISERROR(SEARCH("ERROR",D26)))</formula>
    </cfRule>
  </conditionalFormatting>
  <conditionalFormatting sqref="I15">
    <cfRule type="containsText" dxfId="0" priority="1" operator="containsText" text="ERROR">
      <formula>NOT(ISERROR(SEARCH("ERROR",I15)))</formula>
    </cfRule>
  </conditionalFormatting>
  <hyperlinks>
    <hyperlink ref="A1" location="'ANEXO 3'!A1" display="VOLVER AL INDICE"/>
  </hyperlinks>
  <pageMargins left="0.7" right="0.7" top="0.75" bottom="0.75" header="0.3" footer="0.3"/>
  <pageSetup paperSize="178"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I1044"/>
  <sheetViews>
    <sheetView topLeftCell="K4" zoomScaleNormal="100" zoomScaleSheetLayoutView="100" workbookViewId="0">
      <pane xSplit="9285" ySplit="3585" topLeftCell="O506" activePane="bottomRight"/>
      <selection activeCell="K9" sqref="K9"/>
      <selection pane="topRight" activeCell="T7" sqref="T7"/>
      <selection pane="bottomLeft" activeCell="K90" sqref="K90"/>
      <selection pane="bottomRight" activeCell="T505" sqref="T505"/>
    </sheetView>
  </sheetViews>
  <sheetFormatPr baseColWidth="10" defaultColWidth="11.42578125" defaultRowHeight="36" customHeight="1" x14ac:dyDescent="0.25"/>
  <cols>
    <col min="1" max="1" width="10" customWidth="1"/>
    <col min="2" max="2" width="14.7109375" customWidth="1"/>
    <col min="3" max="3" width="14.140625" customWidth="1"/>
    <col min="4" max="4" width="16.140625" customWidth="1"/>
    <col min="5" max="10" width="11.42578125" customWidth="1"/>
    <col min="11" max="11" width="92.42578125" customWidth="1"/>
    <col min="12" max="12" width="19.42578125" customWidth="1"/>
    <col min="13" max="13" width="19.7109375" customWidth="1"/>
    <col min="14" max="14" width="19.28515625" customWidth="1"/>
    <col min="15" max="15" width="23.42578125" customWidth="1"/>
    <col min="16" max="16" width="25.7109375" customWidth="1"/>
    <col min="17" max="18" width="18.85546875" customWidth="1"/>
    <col min="19" max="19" width="22" customWidth="1"/>
    <col min="20" max="20" width="19.28515625" customWidth="1"/>
    <col min="21" max="21" width="20.28515625" customWidth="1"/>
    <col min="22" max="22" width="16.7109375" customWidth="1"/>
    <col min="23" max="23" width="26.85546875" customWidth="1"/>
    <col min="24" max="24" width="29.140625" hidden="1" customWidth="1"/>
    <col min="25" max="25" width="36.140625" hidden="1" customWidth="1"/>
    <col min="26" max="26" width="20.140625" customWidth="1"/>
    <col min="27" max="27" width="19.140625" customWidth="1"/>
  </cols>
  <sheetData>
    <row r="1" spans="1:27" ht="109.5" customHeight="1" thickBot="1" x14ac:dyDescent="0.3">
      <c r="A1" s="1314"/>
      <c r="B1" s="1315"/>
      <c r="C1" s="1315"/>
      <c r="D1" s="1315"/>
      <c r="E1" s="1315"/>
      <c r="F1" s="1316"/>
      <c r="G1" s="1316"/>
      <c r="H1" s="1316"/>
      <c r="I1" s="1315"/>
      <c r="J1" s="1315"/>
      <c r="K1" s="1315"/>
      <c r="L1" s="1315"/>
      <c r="M1" s="1315"/>
      <c r="N1" s="1315"/>
      <c r="O1" s="1315"/>
      <c r="P1" s="1315"/>
      <c r="Q1" s="1315"/>
      <c r="R1" s="1315"/>
      <c r="S1" s="1315"/>
      <c r="T1" s="1315"/>
      <c r="U1" s="1315"/>
      <c r="V1" s="1315"/>
      <c r="W1" s="1317"/>
    </row>
    <row r="2" spans="1:27" ht="26.25" customHeight="1" x14ac:dyDescent="0.25">
      <c r="A2" s="1318" t="s">
        <v>187</v>
      </c>
      <c r="B2" s="1319"/>
      <c r="C2" s="1319"/>
      <c r="D2" s="1319"/>
      <c r="E2" s="1319"/>
      <c r="F2" s="1320"/>
      <c r="G2" s="1320"/>
      <c r="H2" s="1320"/>
      <c r="I2" s="1319"/>
      <c r="J2" s="1319"/>
      <c r="K2" s="1319"/>
      <c r="L2" s="1319"/>
      <c r="M2" s="1319"/>
      <c r="N2" s="1319"/>
      <c r="O2" s="1319"/>
      <c r="P2" s="1319"/>
      <c r="Q2" s="1319"/>
      <c r="R2" s="1319"/>
      <c r="S2" s="1319"/>
      <c r="T2" s="1319"/>
      <c r="U2" s="1319"/>
      <c r="V2" s="1319"/>
      <c r="W2" s="1321"/>
    </row>
    <row r="3" spans="1:27" ht="26.25" customHeight="1" x14ac:dyDescent="0.25">
      <c r="A3" s="1322" t="s">
        <v>2178</v>
      </c>
      <c r="B3" s="1323"/>
      <c r="C3" s="1323"/>
      <c r="D3" s="1323"/>
      <c r="E3" s="1323"/>
      <c r="F3" s="1324"/>
      <c r="G3" s="1324"/>
      <c r="H3" s="1324"/>
      <c r="I3" s="1323"/>
      <c r="J3" s="1323"/>
      <c r="K3" s="1323"/>
      <c r="L3" s="1323"/>
      <c r="M3" s="1323"/>
      <c r="N3" s="1323"/>
      <c r="O3" s="1323"/>
      <c r="P3" s="1323"/>
      <c r="Q3" s="1323"/>
      <c r="R3" s="1323"/>
      <c r="S3" s="1323"/>
      <c r="T3" s="1323"/>
      <c r="U3" s="1323"/>
      <c r="V3" s="1323"/>
      <c r="W3" s="1325"/>
    </row>
    <row r="4" spans="1:27" ht="26.25" customHeight="1" thickBot="1" x14ac:dyDescent="0.3">
      <c r="A4" s="1326" t="s">
        <v>188</v>
      </c>
      <c r="B4" s="1327"/>
      <c r="C4" s="1327"/>
      <c r="D4" s="1327"/>
      <c r="E4" s="1327"/>
      <c r="F4" s="1328"/>
      <c r="G4" s="1328"/>
      <c r="H4" s="1328"/>
      <c r="I4" s="1327"/>
      <c r="J4" s="1327"/>
      <c r="K4" s="1327"/>
      <c r="L4" s="1327"/>
      <c r="M4" s="1327"/>
      <c r="N4" s="1327"/>
      <c r="O4" s="1327"/>
      <c r="P4" s="1327"/>
      <c r="Q4" s="1327"/>
      <c r="R4" s="1327"/>
      <c r="S4" s="1327"/>
      <c r="T4" s="1327"/>
      <c r="U4" s="1327"/>
      <c r="V4" s="1327"/>
      <c r="W4" s="1329"/>
    </row>
    <row r="5" spans="1:27" ht="36" customHeight="1" thickTop="1" thickBot="1" x14ac:dyDescent="0.3">
      <c r="A5" s="1330" t="s">
        <v>189</v>
      </c>
      <c r="B5" s="1331"/>
      <c r="C5" s="1331"/>
      <c r="D5" s="1331"/>
      <c r="E5" s="1331"/>
      <c r="F5" s="1331"/>
      <c r="G5" s="1331"/>
      <c r="H5" s="1331"/>
      <c r="I5" s="1332"/>
      <c r="J5" s="597"/>
      <c r="K5" s="1333" t="s">
        <v>190</v>
      </c>
      <c r="L5" s="1333" t="s">
        <v>191</v>
      </c>
      <c r="M5" s="1335" t="s">
        <v>192</v>
      </c>
      <c r="N5" s="1335"/>
      <c r="O5" s="1333" t="s">
        <v>193</v>
      </c>
      <c r="P5" s="1336" t="s">
        <v>194</v>
      </c>
      <c r="Q5" s="1337"/>
      <c r="R5" s="1337"/>
      <c r="S5" s="1338"/>
      <c r="T5" s="1339" t="s">
        <v>195</v>
      </c>
      <c r="U5" s="1341" t="s">
        <v>196</v>
      </c>
      <c r="V5" s="1343" t="s">
        <v>197</v>
      </c>
      <c r="W5" s="1333" t="s">
        <v>198</v>
      </c>
      <c r="X5" s="1344" t="s">
        <v>199</v>
      </c>
      <c r="Y5" s="1312" t="s">
        <v>200</v>
      </c>
    </row>
    <row r="6" spans="1:27" s="416" customFormat="1" ht="35.25" thickTop="1" thickBot="1" x14ac:dyDescent="0.3">
      <c r="A6" s="520" t="s">
        <v>201</v>
      </c>
      <c r="B6" s="520" t="s">
        <v>202</v>
      </c>
      <c r="C6" s="521" t="s">
        <v>203</v>
      </c>
      <c r="D6" s="520" t="s">
        <v>204</v>
      </c>
      <c r="E6" s="520" t="s">
        <v>205</v>
      </c>
      <c r="F6" s="520" t="s">
        <v>206</v>
      </c>
      <c r="G6" s="520" t="s">
        <v>207</v>
      </c>
      <c r="H6" s="413" t="s">
        <v>208</v>
      </c>
      <c r="I6" s="504" t="s">
        <v>209</v>
      </c>
      <c r="J6" s="504"/>
      <c r="K6" s="1334"/>
      <c r="L6" s="1334"/>
      <c r="M6" s="598" t="s">
        <v>210</v>
      </c>
      <c r="N6" s="414" t="s">
        <v>211</v>
      </c>
      <c r="O6" s="1334"/>
      <c r="P6" s="415" t="s">
        <v>212</v>
      </c>
      <c r="Q6" s="598" t="s">
        <v>213</v>
      </c>
      <c r="R6" s="415" t="s">
        <v>214</v>
      </c>
      <c r="S6" s="415" t="s">
        <v>215</v>
      </c>
      <c r="T6" s="1340"/>
      <c r="U6" s="1342"/>
      <c r="V6" s="1333"/>
      <c r="W6" s="1334"/>
      <c r="X6" s="1345"/>
      <c r="Y6" s="1313"/>
    </row>
    <row r="7" spans="1:27" s="174" customFormat="1" ht="16.5" thickTop="1" thickBot="1" x14ac:dyDescent="0.3">
      <c r="A7" s="418" t="s">
        <v>216</v>
      </c>
      <c r="B7" s="418"/>
      <c r="C7" s="418"/>
      <c r="D7" s="418"/>
      <c r="E7" s="418"/>
      <c r="F7" s="418"/>
      <c r="G7" s="418"/>
      <c r="H7" s="417"/>
      <c r="I7" s="419"/>
      <c r="J7" s="419"/>
      <c r="K7" s="419" t="s">
        <v>217</v>
      </c>
      <c r="L7" s="420">
        <f>+L8+L505+L511+L517+L518</f>
        <v>75662451240</v>
      </c>
      <c r="M7" s="420">
        <f t="shared" ref="M7:N7" si="0">+M8+M505+M511+M517+M518</f>
        <v>37581879572.449997</v>
      </c>
      <c r="N7" s="420">
        <f t="shared" si="0"/>
        <v>0</v>
      </c>
      <c r="O7" s="673">
        <f>+O8+O505+O511+O517+O518</f>
        <v>113244330812.45</v>
      </c>
      <c r="P7" s="667">
        <f>+P8+P505+P511+P517+P518</f>
        <v>10395348740</v>
      </c>
      <c r="Q7" s="667">
        <f t="shared" ref="Q7:U7" si="1">+Q8+Q505+Q511+Q517+Q518</f>
        <v>86892559966.369171</v>
      </c>
      <c r="R7" s="667">
        <f>+R8+R227</f>
        <v>1956422106.0808399</v>
      </c>
      <c r="S7" s="420" t="s">
        <v>849</v>
      </c>
      <c r="T7" s="420">
        <f t="shared" si="1"/>
        <v>0</v>
      </c>
      <c r="U7" s="673">
        <f t="shared" si="1"/>
        <v>112692939091</v>
      </c>
      <c r="V7" s="737">
        <f>+U7/O7</f>
        <v>0.99513095518783024</v>
      </c>
      <c r="W7" s="420"/>
      <c r="X7" s="522"/>
      <c r="Y7" s="522"/>
      <c r="Z7" s="738">
        <f>SUBTOTAL(9,P7:S7)</f>
        <v>99244330812.450012</v>
      </c>
      <c r="AA7" s="739">
        <f>+Z7-O7</f>
        <v>-13999999999.999985</v>
      </c>
    </row>
    <row r="8" spans="1:27" s="174" customFormat="1" ht="16.5" thickTop="1" thickBot="1" x14ac:dyDescent="0.3">
      <c r="A8" s="418" t="s">
        <v>216</v>
      </c>
      <c r="B8" s="418" t="s">
        <v>216</v>
      </c>
      <c r="C8" s="418"/>
      <c r="D8" s="418"/>
      <c r="E8" s="418"/>
      <c r="F8" s="418"/>
      <c r="G8" s="418"/>
      <c r="H8" s="417"/>
      <c r="I8" s="419"/>
      <c r="J8" s="419"/>
      <c r="K8" s="419" t="s">
        <v>218</v>
      </c>
      <c r="L8" s="727">
        <f>+L9+L227</f>
        <v>73221225000</v>
      </c>
      <c r="M8" s="420">
        <f t="shared" ref="M8:U8" si="2">+M9+M227</f>
        <v>37581879572.449997</v>
      </c>
      <c r="N8" s="420">
        <f t="shared" si="2"/>
        <v>0</v>
      </c>
      <c r="O8" s="667">
        <f t="shared" ref="O8:O24" si="3">+L8+M8-N8</f>
        <v>110803104572.45</v>
      </c>
      <c r="P8" s="420">
        <f>+P9+P227</f>
        <v>7954122500</v>
      </c>
      <c r="Q8" s="420">
        <f>+Q9+Q227</f>
        <v>86892559966.369171</v>
      </c>
      <c r="R8" s="420">
        <f>+R9</f>
        <v>921822500</v>
      </c>
      <c r="S8" s="420" t="s">
        <v>849</v>
      </c>
      <c r="T8" s="420">
        <f t="shared" si="2"/>
        <v>0</v>
      </c>
      <c r="U8" s="735">
        <f t="shared" si="2"/>
        <v>110269899882</v>
      </c>
      <c r="V8" s="737">
        <f t="shared" ref="V8:V67" si="4">+U8/O8</f>
        <v>0.9951878181346322</v>
      </c>
      <c r="W8" s="420"/>
      <c r="X8" s="522"/>
      <c r="Y8" s="522"/>
      <c r="Z8" s="738">
        <f t="shared" ref="Z8:Z20" si="5">SUBTOTAL(9,P8:S8)</f>
        <v>95768504966.369171</v>
      </c>
      <c r="AA8" s="739">
        <f t="shared" ref="AA8:AA20" si="6">+Z8-O8</f>
        <v>-15034599606.080826</v>
      </c>
    </row>
    <row r="9" spans="1:27" s="512" customFormat="1" ht="16.5" thickTop="1" thickBot="1" x14ac:dyDescent="0.3">
      <c r="A9" s="523">
        <v>1</v>
      </c>
      <c r="B9" s="422" t="s">
        <v>216</v>
      </c>
      <c r="C9" s="422" t="s">
        <v>216</v>
      </c>
      <c r="D9" s="422"/>
      <c r="E9" s="422"/>
      <c r="F9" s="422"/>
      <c r="G9" s="422"/>
      <c r="H9" s="421"/>
      <c r="I9" s="421"/>
      <c r="J9" s="421"/>
      <c r="K9" s="524" t="s">
        <v>219</v>
      </c>
      <c r="L9" s="423">
        <f>+L10+L25</f>
        <v>57594225000</v>
      </c>
      <c r="M9" s="423">
        <f t="shared" ref="M9:T9" si="7">+M10+M25</f>
        <v>0</v>
      </c>
      <c r="N9" s="423">
        <f t="shared" si="7"/>
        <v>0</v>
      </c>
      <c r="O9" s="667">
        <f t="shared" si="3"/>
        <v>57594225000</v>
      </c>
      <c r="P9" s="423">
        <f>+P10+P25</f>
        <v>7791422500</v>
      </c>
      <c r="Q9" s="423">
        <f>+Q10+Q25</f>
        <v>48880980000</v>
      </c>
      <c r="R9" s="423">
        <f>+R10+R25</f>
        <v>921822500</v>
      </c>
      <c r="S9" s="423" t="s">
        <v>849</v>
      </c>
      <c r="T9" s="423">
        <f t="shared" si="7"/>
        <v>0</v>
      </c>
      <c r="U9" s="735">
        <f>+U10+U25</f>
        <v>56721941420</v>
      </c>
      <c r="V9" s="737">
        <f t="shared" si="4"/>
        <v>0.98485466937006272</v>
      </c>
      <c r="W9" s="423"/>
      <c r="X9" s="511"/>
      <c r="Y9" s="511"/>
      <c r="Z9" s="738">
        <f t="shared" si="5"/>
        <v>57594225000</v>
      </c>
      <c r="AA9" s="739">
        <f t="shared" si="6"/>
        <v>0</v>
      </c>
    </row>
    <row r="10" spans="1:27" s="174" customFormat="1" ht="16.5" thickTop="1" thickBot="1" x14ac:dyDescent="0.3">
      <c r="A10" s="425">
        <v>1</v>
      </c>
      <c r="B10" s="505" t="s">
        <v>216</v>
      </c>
      <c r="C10" s="505" t="s">
        <v>216</v>
      </c>
      <c r="D10" s="505" t="s">
        <v>220</v>
      </c>
      <c r="E10" s="505"/>
      <c r="F10" s="505"/>
      <c r="G10" s="505"/>
      <c r="H10" s="519"/>
      <c r="I10" s="519"/>
      <c r="J10" s="519"/>
      <c r="K10" s="501" t="s">
        <v>221</v>
      </c>
      <c r="L10" s="426">
        <f>+L11</f>
        <v>49736000000</v>
      </c>
      <c r="M10" s="426">
        <f t="shared" ref="M10:T10" si="8">+M11</f>
        <v>0</v>
      </c>
      <c r="N10" s="426">
        <f t="shared" si="8"/>
        <v>0</v>
      </c>
      <c r="O10" s="673">
        <f t="shared" si="3"/>
        <v>49736000000</v>
      </c>
      <c r="P10" s="602">
        <f>+P11</f>
        <v>4973600000</v>
      </c>
      <c r="Q10" s="603">
        <f t="shared" si="8"/>
        <v>44762400000</v>
      </c>
      <c r="R10" s="604">
        <f t="shared" si="8"/>
        <v>0</v>
      </c>
      <c r="S10" s="426" t="s">
        <v>849</v>
      </c>
      <c r="T10" s="426">
        <f t="shared" si="8"/>
        <v>0</v>
      </c>
      <c r="U10" s="601">
        <f>+U11</f>
        <v>48554921056</v>
      </c>
      <c r="V10" s="737">
        <f t="shared" si="4"/>
        <v>0.97625303715618461</v>
      </c>
      <c r="W10" s="426"/>
      <c r="X10" s="522"/>
      <c r="Y10" s="522"/>
      <c r="Z10" s="738">
        <f t="shared" si="5"/>
        <v>49736000000</v>
      </c>
      <c r="AA10" s="739">
        <f t="shared" si="6"/>
        <v>0</v>
      </c>
    </row>
    <row r="11" spans="1:27" s="174" customFormat="1" ht="22.5" customHeight="1" thickTop="1" thickBot="1" x14ac:dyDescent="0.3">
      <c r="A11" s="425">
        <v>1</v>
      </c>
      <c r="B11" s="505" t="s">
        <v>216</v>
      </c>
      <c r="C11" s="505" t="s">
        <v>216</v>
      </c>
      <c r="D11" s="505" t="s">
        <v>220</v>
      </c>
      <c r="E11" s="505" t="s">
        <v>220</v>
      </c>
      <c r="F11" s="505"/>
      <c r="G11" s="505"/>
      <c r="H11" s="519"/>
      <c r="I11" s="519"/>
      <c r="J11" s="519"/>
      <c r="K11" s="501" t="s">
        <v>222</v>
      </c>
      <c r="L11" s="426">
        <f>+L12+L21</f>
        <v>49736000000</v>
      </c>
      <c r="M11" s="426">
        <f t="shared" ref="M11:T11" si="9">+M12+M21</f>
        <v>0</v>
      </c>
      <c r="N11" s="426">
        <f t="shared" si="9"/>
        <v>0</v>
      </c>
      <c r="O11" s="426">
        <f t="shared" si="3"/>
        <v>49736000000</v>
      </c>
      <c r="P11" s="602">
        <f>+P12</f>
        <v>4973600000</v>
      </c>
      <c r="Q11" s="603">
        <f t="shared" si="9"/>
        <v>44762400000</v>
      </c>
      <c r="R11" s="604">
        <f t="shared" si="9"/>
        <v>0</v>
      </c>
      <c r="S11" s="426" t="s">
        <v>849</v>
      </c>
      <c r="T11" s="426">
        <f t="shared" si="9"/>
        <v>0</v>
      </c>
      <c r="U11" s="601">
        <f>+U12</f>
        <v>48554921056</v>
      </c>
      <c r="V11" s="737">
        <f t="shared" si="4"/>
        <v>0.97625303715618461</v>
      </c>
      <c r="W11" s="426"/>
      <c r="X11" s="522"/>
      <c r="Y11" s="522"/>
      <c r="Z11" s="738">
        <f t="shared" si="5"/>
        <v>49736000000</v>
      </c>
      <c r="AA11" s="739">
        <f t="shared" si="6"/>
        <v>0</v>
      </c>
    </row>
    <row r="12" spans="1:27" s="174" customFormat="1" ht="22.5" customHeight="1" thickTop="1" thickBot="1" x14ac:dyDescent="0.3">
      <c r="A12" s="425">
        <v>1</v>
      </c>
      <c r="B12" s="425">
        <v>1</v>
      </c>
      <c r="C12" s="425">
        <v>1</v>
      </c>
      <c r="D12" s="505" t="s">
        <v>220</v>
      </c>
      <c r="E12" s="505" t="s">
        <v>220</v>
      </c>
      <c r="F12" s="505" t="s">
        <v>223</v>
      </c>
      <c r="G12" s="505"/>
      <c r="H12" s="519"/>
      <c r="I12" s="519"/>
      <c r="J12" s="519"/>
      <c r="K12" s="501" t="s">
        <v>224</v>
      </c>
      <c r="L12" s="426">
        <f>+L13+L17</f>
        <v>49736000000</v>
      </c>
      <c r="M12" s="426">
        <f t="shared" ref="M12:T12" si="10">+M13+M17</f>
        <v>0</v>
      </c>
      <c r="N12" s="426">
        <f t="shared" si="10"/>
        <v>0</v>
      </c>
      <c r="O12" s="426">
        <f t="shared" si="3"/>
        <v>49736000000</v>
      </c>
      <c r="P12" s="602">
        <f>+P13+P17</f>
        <v>4973600000</v>
      </c>
      <c r="Q12" s="603">
        <f t="shared" si="10"/>
        <v>44762400000</v>
      </c>
      <c r="R12" s="604">
        <f t="shared" si="10"/>
        <v>0</v>
      </c>
      <c r="S12" s="426" t="s">
        <v>849</v>
      </c>
      <c r="T12" s="426">
        <f t="shared" si="10"/>
        <v>0</v>
      </c>
      <c r="U12" s="601">
        <f>+U13+U17</f>
        <v>48554921056</v>
      </c>
      <c r="V12" s="737">
        <f t="shared" si="4"/>
        <v>0.97625303715618461</v>
      </c>
      <c r="W12" s="426">
        <f>+P12+Q12</f>
        <v>49736000000</v>
      </c>
      <c r="X12" s="522"/>
      <c r="Y12" s="522"/>
      <c r="Z12" s="738">
        <f t="shared" si="5"/>
        <v>49736000000</v>
      </c>
      <c r="AA12" s="739">
        <f t="shared" si="6"/>
        <v>0</v>
      </c>
    </row>
    <row r="13" spans="1:27" ht="22.5" customHeight="1" thickTop="1" thickBot="1" x14ac:dyDescent="0.3">
      <c r="A13" s="425">
        <v>1</v>
      </c>
      <c r="B13" s="425">
        <v>1</v>
      </c>
      <c r="C13" s="425">
        <v>1</v>
      </c>
      <c r="D13" s="505" t="s">
        <v>220</v>
      </c>
      <c r="E13" s="505" t="s">
        <v>220</v>
      </c>
      <c r="F13" s="505" t="s">
        <v>223</v>
      </c>
      <c r="G13" s="505" t="s">
        <v>220</v>
      </c>
      <c r="H13" s="505"/>
      <c r="I13" s="505"/>
      <c r="J13" s="505"/>
      <c r="K13" s="501" t="s">
        <v>225</v>
      </c>
      <c r="L13" s="426">
        <f>SUBTOTAL(9,L14:L16)</f>
        <v>48000000000</v>
      </c>
      <c r="M13" s="426">
        <f t="shared" ref="M13:U13" si="11">SUBTOTAL(9,M14:M16)</f>
        <v>0</v>
      </c>
      <c r="N13" s="426">
        <f t="shared" si="11"/>
        <v>0</v>
      </c>
      <c r="O13" s="673">
        <f t="shared" si="3"/>
        <v>48000000000</v>
      </c>
      <c r="P13" s="602">
        <f>+O13*10%</f>
        <v>4800000000</v>
      </c>
      <c r="Q13" s="741">
        <f>SUBTOTAL(9,Q14:Q16)</f>
        <v>43200000000</v>
      </c>
      <c r="R13" s="604">
        <f t="shared" si="11"/>
        <v>0</v>
      </c>
      <c r="S13" s="426" t="s">
        <v>849</v>
      </c>
      <c r="T13" s="426">
        <f t="shared" si="11"/>
        <v>0</v>
      </c>
      <c r="U13" s="601">
        <f t="shared" si="11"/>
        <v>47171743642</v>
      </c>
      <c r="V13" s="737">
        <f t="shared" si="4"/>
        <v>0.98274465920833332</v>
      </c>
      <c r="W13" s="426"/>
      <c r="X13" s="522"/>
      <c r="Y13" s="522"/>
      <c r="Z13" s="738">
        <f t="shared" si="5"/>
        <v>4800000000</v>
      </c>
      <c r="AA13" s="739">
        <f t="shared" si="6"/>
        <v>-43200000000</v>
      </c>
    </row>
    <row r="14" spans="1:27" ht="22.5" customHeight="1" thickTop="1" thickBot="1" x14ac:dyDescent="0.3">
      <c r="A14" s="425">
        <v>1</v>
      </c>
      <c r="B14" s="425">
        <v>1</v>
      </c>
      <c r="C14" s="425">
        <v>1</v>
      </c>
      <c r="D14" s="505" t="s">
        <v>220</v>
      </c>
      <c r="E14" s="505" t="s">
        <v>220</v>
      </c>
      <c r="F14" s="505" t="s">
        <v>223</v>
      </c>
      <c r="G14" s="505" t="s">
        <v>220</v>
      </c>
      <c r="H14" s="505" t="s">
        <v>216</v>
      </c>
      <c r="I14" s="505"/>
      <c r="J14" s="505"/>
      <c r="K14" s="502" t="s">
        <v>226</v>
      </c>
      <c r="L14" s="426">
        <v>48000000000</v>
      </c>
      <c r="M14" s="426"/>
      <c r="N14" s="426"/>
      <c r="O14" s="426">
        <f t="shared" si="3"/>
        <v>48000000000</v>
      </c>
      <c r="P14" s="602">
        <f>+O14*10%</f>
        <v>4800000000</v>
      </c>
      <c r="Q14" s="603">
        <f>+O14*90%</f>
        <v>43200000000</v>
      </c>
      <c r="R14" s="604"/>
      <c r="S14" s="426"/>
      <c r="T14" s="426"/>
      <c r="U14" s="601">
        <v>47171743642</v>
      </c>
      <c r="V14" s="737">
        <f t="shared" si="4"/>
        <v>0.98274465920833332</v>
      </c>
      <c r="W14" s="426">
        <f>+Q14+P14</f>
        <v>48000000000</v>
      </c>
      <c r="X14" s="522"/>
      <c r="Y14" s="522"/>
      <c r="Z14" s="738">
        <f t="shared" si="5"/>
        <v>48000000000</v>
      </c>
      <c r="AA14" s="739">
        <f t="shared" si="6"/>
        <v>0</v>
      </c>
    </row>
    <row r="15" spans="1:27" ht="22.5" customHeight="1" thickTop="1" thickBot="1" x14ac:dyDescent="0.3">
      <c r="A15" s="425">
        <v>1</v>
      </c>
      <c r="B15" s="425">
        <v>1</v>
      </c>
      <c r="C15" s="425">
        <v>1</v>
      </c>
      <c r="D15" s="505" t="s">
        <v>220</v>
      </c>
      <c r="E15" s="505" t="s">
        <v>220</v>
      </c>
      <c r="F15" s="505" t="s">
        <v>223</v>
      </c>
      <c r="G15" s="505" t="s">
        <v>220</v>
      </c>
      <c r="H15" s="505" t="s">
        <v>227</v>
      </c>
      <c r="I15" s="505"/>
      <c r="J15" s="505"/>
      <c r="K15" s="502" t="s">
        <v>228</v>
      </c>
      <c r="L15" s="426"/>
      <c r="M15" s="426"/>
      <c r="N15" s="426"/>
      <c r="O15" s="426">
        <f t="shared" si="3"/>
        <v>0</v>
      </c>
      <c r="P15" s="602"/>
      <c r="Q15" s="603"/>
      <c r="R15" s="604"/>
      <c r="S15" s="426"/>
      <c r="T15" s="426"/>
      <c r="U15" s="601"/>
      <c r="V15" s="737">
        <v>0</v>
      </c>
      <c r="W15" s="426"/>
      <c r="X15" s="522"/>
      <c r="Y15" s="522"/>
      <c r="Z15" s="738">
        <f t="shared" si="5"/>
        <v>0</v>
      </c>
      <c r="AA15" s="739">
        <f t="shared" si="6"/>
        <v>0</v>
      </c>
    </row>
    <row r="16" spans="1:27" ht="22.5" customHeight="1" thickTop="1" thickBot="1" x14ac:dyDescent="0.3">
      <c r="A16" s="425">
        <v>1</v>
      </c>
      <c r="B16" s="425">
        <v>1</v>
      </c>
      <c r="C16" s="425">
        <v>1</v>
      </c>
      <c r="D16" s="505" t="s">
        <v>220</v>
      </c>
      <c r="E16" s="505" t="s">
        <v>220</v>
      </c>
      <c r="F16" s="505" t="s">
        <v>223</v>
      </c>
      <c r="G16" s="505" t="s">
        <v>220</v>
      </c>
      <c r="H16" s="505" t="s">
        <v>229</v>
      </c>
      <c r="I16" s="505"/>
      <c r="J16" s="505"/>
      <c r="K16" s="502" t="s">
        <v>230</v>
      </c>
      <c r="L16" s="426"/>
      <c r="M16" s="426"/>
      <c r="N16" s="426"/>
      <c r="O16" s="426">
        <f t="shared" si="3"/>
        <v>0</v>
      </c>
      <c r="P16" s="602"/>
      <c r="Q16" s="603"/>
      <c r="R16" s="604"/>
      <c r="S16" s="426"/>
      <c r="T16" s="426"/>
      <c r="U16" s="601"/>
      <c r="V16" s="737">
        <v>0</v>
      </c>
      <c r="W16" s="426"/>
      <c r="X16" s="522"/>
      <c r="Y16" s="522"/>
      <c r="Z16" s="738">
        <f t="shared" si="5"/>
        <v>0</v>
      </c>
      <c r="AA16" s="739">
        <f t="shared" si="6"/>
        <v>0</v>
      </c>
    </row>
    <row r="17" spans="1:27" ht="22.5" customHeight="1" thickTop="1" thickBot="1" x14ac:dyDescent="0.3">
      <c r="A17" s="425">
        <v>1</v>
      </c>
      <c r="B17" s="425">
        <v>1</v>
      </c>
      <c r="C17" s="425">
        <v>1</v>
      </c>
      <c r="D17" s="505" t="s">
        <v>220</v>
      </c>
      <c r="E17" s="505" t="s">
        <v>220</v>
      </c>
      <c r="F17" s="505" t="s">
        <v>223</v>
      </c>
      <c r="G17" s="505" t="s">
        <v>231</v>
      </c>
      <c r="H17" s="505"/>
      <c r="I17" s="505"/>
      <c r="J17" s="505"/>
      <c r="K17" s="501" t="s">
        <v>232</v>
      </c>
      <c r="L17" s="426">
        <f>SUBTOTAL(9,L18:L20)</f>
        <v>1736000000</v>
      </c>
      <c r="M17" s="426">
        <f t="shared" ref="M17:U17" si="12">SUBTOTAL(9,M18:M20)</f>
        <v>0</v>
      </c>
      <c r="N17" s="426">
        <f t="shared" si="12"/>
        <v>0</v>
      </c>
      <c r="O17" s="673">
        <f t="shared" si="3"/>
        <v>1736000000</v>
      </c>
      <c r="P17" s="602">
        <f t="shared" si="12"/>
        <v>173600000</v>
      </c>
      <c r="Q17" s="603">
        <f t="shared" si="12"/>
        <v>1562400000</v>
      </c>
      <c r="R17" s="607">
        <f t="shared" si="12"/>
        <v>0</v>
      </c>
      <c r="S17" s="427">
        <f t="shared" si="12"/>
        <v>0</v>
      </c>
      <c r="T17" s="427">
        <f t="shared" si="12"/>
        <v>0</v>
      </c>
      <c r="U17" s="601">
        <f t="shared" si="12"/>
        <v>1383177414</v>
      </c>
      <c r="V17" s="737">
        <f t="shared" si="4"/>
        <v>0.79676118317972355</v>
      </c>
      <c r="W17" s="427" t="s">
        <v>849</v>
      </c>
      <c r="X17" s="522"/>
      <c r="Y17" s="522"/>
      <c r="Z17" s="738">
        <f t="shared" si="5"/>
        <v>0</v>
      </c>
      <c r="AA17" s="739">
        <f t="shared" si="6"/>
        <v>-1736000000</v>
      </c>
    </row>
    <row r="18" spans="1:27" ht="22.5" customHeight="1" thickTop="1" thickBot="1" x14ac:dyDescent="0.3">
      <c r="A18" s="425">
        <v>1</v>
      </c>
      <c r="B18" s="425">
        <v>1</v>
      </c>
      <c r="C18" s="425">
        <v>1</v>
      </c>
      <c r="D18" s="505" t="s">
        <v>220</v>
      </c>
      <c r="E18" s="505" t="s">
        <v>220</v>
      </c>
      <c r="F18" s="505" t="s">
        <v>223</v>
      </c>
      <c r="G18" s="505" t="s">
        <v>231</v>
      </c>
      <c r="H18" s="505" t="s">
        <v>216</v>
      </c>
      <c r="I18" s="505"/>
      <c r="J18" s="505"/>
      <c r="K18" s="502" t="s">
        <v>233</v>
      </c>
      <c r="L18" s="427">
        <v>1736000000</v>
      </c>
      <c r="M18" s="427"/>
      <c r="N18" s="427"/>
      <c r="O18" s="426">
        <f t="shared" si="3"/>
        <v>1736000000</v>
      </c>
      <c r="P18" s="605">
        <f>+O18*10%</f>
        <v>173600000</v>
      </c>
      <c r="Q18" s="606">
        <f>+O18*90%</f>
        <v>1562400000</v>
      </c>
      <c r="R18" s="607"/>
      <c r="S18" s="427" t="s">
        <v>849</v>
      </c>
      <c r="T18" s="427"/>
      <c r="U18" s="608">
        <v>1383177414</v>
      </c>
      <c r="V18" s="737">
        <f t="shared" si="4"/>
        <v>0.79676118317972355</v>
      </c>
      <c r="W18" s="427"/>
      <c r="X18" s="522"/>
      <c r="Y18" s="522"/>
      <c r="Z18" s="738">
        <f t="shared" si="5"/>
        <v>1736000000</v>
      </c>
      <c r="AA18" s="739">
        <f t="shared" si="6"/>
        <v>0</v>
      </c>
    </row>
    <row r="19" spans="1:27" ht="22.5" customHeight="1" thickTop="1" thickBot="1" x14ac:dyDescent="0.3">
      <c r="A19" s="425">
        <v>1</v>
      </c>
      <c r="B19" s="425">
        <v>1</v>
      </c>
      <c r="C19" s="425">
        <v>1</v>
      </c>
      <c r="D19" s="505" t="s">
        <v>220</v>
      </c>
      <c r="E19" s="505" t="s">
        <v>220</v>
      </c>
      <c r="F19" s="505" t="s">
        <v>223</v>
      </c>
      <c r="G19" s="505" t="s">
        <v>231</v>
      </c>
      <c r="H19" s="505" t="s">
        <v>227</v>
      </c>
      <c r="I19" s="505"/>
      <c r="J19" s="505"/>
      <c r="K19" s="502" t="s">
        <v>234</v>
      </c>
      <c r="L19" s="427"/>
      <c r="M19" s="427"/>
      <c r="N19" s="427"/>
      <c r="O19" s="426">
        <f t="shared" si="3"/>
        <v>0</v>
      </c>
      <c r="P19" s="605"/>
      <c r="Q19" s="606"/>
      <c r="R19" s="607"/>
      <c r="S19" s="427"/>
      <c r="T19" s="427"/>
      <c r="U19" s="608"/>
      <c r="V19" s="737">
        <v>0</v>
      </c>
      <c r="W19" s="427"/>
      <c r="X19" s="522"/>
      <c r="Y19" s="522"/>
      <c r="Z19" s="738">
        <f t="shared" si="5"/>
        <v>0</v>
      </c>
      <c r="AA19" s="739">
        <f t="shared" si="6"/>
        <v>0</v>
      </c>
    </row>
    <row r="20" spans="1:27" ht="22.5" customHeight="1" thickTop="1" thickBot="1" x14ac:dyDescent="0.3">
      <c r="A20" s="425">
        <v>1</v>
      </c>
      <c r="B20" s="425">
        <v>1</v>
      </c>
      <c r="C20" s="425">
        <v>1</v>
      </c>
      <c r="D20" s="505" t="s">
        <v>220</v>
      </c>
      <c r="E20" s="505" t="s">
        <v>220</v>
      </c>
      <c r="F20" s="505" t="s">
        <v>223</v>
      </c>
      <c r="G20" s="505" t="s">
        <v>231</v>
      </c>
      <c r="H20" s="505" t="s">
        <v>229</v>
      </c>
      <c r="I20" s="505"/>
      <c r="J20" s="505"/>
      <c r="K20" s="502" t="s">
        <v>235</v>
      </c>
      <c r="L20" s="427"/>
      <c r="M20" s="427"/>
      <c r="N20" s="427"/>
      <c r="O20" s="426">
        <f t="shared" si="3"/>
        <v>0</v>
      </c>
      <c r="P20" s="605"/>
      <c r="Q20" s="606"/>
      <c r="R20" s="607"/>
      <c r="S20" s="427"/>
      <c r="T20" s="427"/>
      <c r="U20" s="608"/>
      <c r="V20" s="737">
        <v>0</v>
      </c>
      <c r="W20" s="427"/>
      <c r="X20" s="522"/>
      <c r="Y20" s="522"/>
      <c r="Z20" s="738">
        <f t="shared" si="5"/>
        <v>0</v>
      </c>
      <c r="AA20" s="739">
        <f t="shared" si="6"/>
        <v>0</v>
      </c>
    </row>
    <row r="21" spans="1:27" ht="22.5" customHeight="1" thickTop="1" thickBot="1" x14ac:dyDescent="0.3">
      <c r="A21" s="425">
        <v>1</v>
      </c>
      <c r="B21" s="425">
        <v>1</v>
      </c>
      <c r="C21" s="425">
        <v>1</v>
      </c>
      <c r="D21" s="505" t="s">
        <v>220</v>
      </c>
      <c r="E21" s="505" t="s">
        <v>220</v>
      </c>
      <c r="F21" s="505" t="s">
        <v>236</v>
      </c>
      <c r="G21" s="525"/>
      <c r="H21" s="505"/>
      <c r="I21" s="505"/>
      <c r="J21" s="505"/>
      <c r="K21" s="501" t="s">
        <v>237</v>
      </c>
      <c r="L21" s="427">
        <f>SUBTOTAL(9,L22:L24)</f>
        <v>0</v>
      </c>
      <c r="M21" s="427">
        <f t="shared" ref="M21:U21" si="13">SUBTOTAL(9,M22:M24)</f>
        <v>0</v>
      </c>
      <c r="N21" s="427">
        <f t="shared" si="13"/>
        <v>0</v>
      </c>
      <c r="O21" s="426">
        <f t="shared" si="3"/>
        <v>0</v>
      </c>
      <c r="P21" s="605">
        <f t="shared" si="13"/>
        <v>0</v>
      </c>
      <c r="Q21" s="606">
        <f t="shared" si="13"/>
        <v>0</v>
      </c>
      <c r="R21" s="607">
        <f t="shared" si="13"/>
        <v>0</v>
      </c>
      <c r="S21" s="427">
        <f t="shared" si="13"/>
        <v>0</v>
      </c>
      <c r="T21" s="427">
        <f t="shared" si="13"/>
        <v>0</v>
      </c>
      <c r="U21" s="608">
        <f t="shared" si="13"/>
        <v>0</v>
      </c>
      <c r="V21" s="427" t="e">
        <f t="shared" ref="V21:V70" si="14">+U21/T21</f>
        <v>#DIV/0!</v>
      </c>
      <c r="W21" s="427"/>
      <c r="X21" s="522"/>
      <c r="Y21" s="522"/>
    </row>
    <row r="22" spans="1:27" ht="22.5" customHeight="1" thickTop="1" thickBot="1" x14ac:dyDescent="0.3">
      <c r="A22" s="425">
        <v>1</v>
      </c>
      <c r="B22" s="425">
        <v>1</v>
      </c>
      <c r="C22" s="425">
        <v>1</v>
      </c>
      <c r="D22" s="505" t="s">
        <v>220</v>
      </c>
      <c r="E22" s="505" t="s">
        <v>220</v>
      </c>
      <c r="F22" s="505" t="s">
        <v>236</v>
      </c>
      <c r="G22" s="525">
        <v>1</v>
      </c>
      <c r="H22" s="505"/>
      <c r="I22" s="505"/>
      <c r="J22" s="505"/>
      <c r="K22" s="502" t="s">
        <v>238</v>
      </c>
      <c r="L22" s="427"/>
      <c r="M22" s="427"/>
      <c r="N22" s="427"/>
      <c r="O22" s="426">
        <f t="shared" si="3"/>
        <v>0</v>
      </c>
      <c r="P22" s="605"/>
      <c r="Q22" s="606"/>
      <c r="R22" s="607"/>
      <c r="S22" s="427"/>
      <c r="T22" s="427"/>
      <c r="U22" s="608"/>
      <c r="V22" s="737">
        <v>0</v>
      </c>
      <c r="W22" s="427"/>
      <c r="X22" s="522"/>
      <c r="Y22" s="522"/>
      <c r="Z22" s="738">
        <f t="shared" ref="Z22:Z32" si="15">SUBTOTAL(9,P22:S22)</f>
        <v>0</v>
      </c>
      <c r="AA22" s="739">
        <f t="shared" ref="AA22:AA32" si="16">+Z22-O22</f>
        <v>0</v>
      </c>
    </row>
    <row r="23" spans="1:27" ht="22.5" customHeight="1" thickTop="1" thickBot="1" x14ac:dyDescent="0.3">
      <c r="A23" s="425">
        <v>1</v>
      </c>
      <c r="B23" s="425">
        <v>1</v>
      </c>
      <c r="C23" s="425">
        <v>1</v>
      </c>
      <c r="D23" s="505" t="s">
        <v>220</v>
      </c>
      <c r="E23" s="505" t="s">
        <v>220</v>
      </c>
      <c r="F23" s="505" t="s">
        <v>236</v>
      </c>
      <c r="G23" s="525">
        <v>2</v>
      </c>
      <c r="H23" s="505"/>
      <c r="I23" s="505"/>
      <c r="J23" s="505"/>
      <c r="K23" s="502" t="s">
        <v>239</v>
      </c>
      <c r="L23" s="427"/>
      <c r="M23" s="427"/>
      <c r="N23" s="427"/>
      <c r="O23" s="426">
        <f t="shared" si="3"/>
        <v>0</v>
      </c>
      <c r="P23" s="605"/>
      <c r="Q23" s="606"/>
      <c r="R23" s="607"/>
      <c r="S23" s="427"/>
      <c r="T23" s="427"/>
      <c r="U23" s="608"/>
      <c r="V23" s="737">
        <v>0</v>
      </c>
      <c r="W23" s="427"/>
      <c r="X23" s="522"/>
      <c r="Y23" s="522"/>
      <c r="Z23" s="738">
        <f t="shared" si="15"/>
        <v>0</v>
      </c>
      <c r="AA23" s="739">
        <f t="shared" si="16"/>
        <v>0</v>
      </c>
    </row>
    <row r="24" spans="1:27" ht="22.5" customHeight="1" thickTop="1" thickBot="1" x14ac:dyDescent="0.3">
      <c r="A24" s="425">
        <v>1</v>
      </c>
      <c r="B24" s="425">
        <v>1</v>
      </c>
      <c r="C24" s="425">
        <v>1</v>
      </c>
      <c r="D24" s="505" t="s">
        <v>220</v>
      </c>
      <c r="E24" s="505" t="s">
        <v>220</v>
      </c>
      <c r="F24" s="505" t="s">
        <v>236</v>
      </c>
      <c r="G24" s="525">
        <v>3</v>
      </c>
      <c r="H24" s="505"/>
      <c r="I24" s="505"/>
      <c r="J24" s="505"/>
      <c r="K24" s="502" t="s">
        <v>240</v>
      </c>
      <c r="L24" s="427"/>
      <c r="M24" s="427"/>
      <c r="N24" s="427"/>
      <c r="O24" s="426">
        <f t="shared" si="3"/>
        <v>0</v>
      </c>
      <c r="P24" s="605"/>
      <c r="Q24" s="606"/>
      <c r="R24" s="607"/>
      <c r="S24" s="427"/>
      <c r="T24" s="427"/>
      <c r="U24" s="608"/>
      <c r="V24" s="737">
        <v>0</v>
      </c>
      <c r="W24" s="427"/>
      <c r="X24" s="522"/>
      <c r="Y24" s="522"/>
      <c r="Z24" s="738">
        <f t="shared" si="15"/>
        <v>0</v>
      </c>
      <c r="AA24" s="739">
        <f t="shared" si="16"/>
        <v>0</v>
      </c>
    </row>
    <row r="25" spans="1:27" s="174" customFormat="1" ht="22.5" customHeight="1" thickTop="1" thickBot="1" x14ac:dyDescent="0.3">
      <c r="A25" s="425">
        <v>1</v>
      </c>
      <c r="B25" s="505" t="s">
        <v>216</v>
      </c>
      <c r="C25" s="505" t="s">
        <v>216</v>
      </c>
      <c r="D25" s="505" t="s">
        <v>231</v>
      </c>
      <c r="E25" s="505"/>
      <c r="F25" s="505"/>
      <c r="G25" s="525"/>
      <c r="H25" s="519"/>
      <c r="I25" s="519"/>
      <c r="J25" s="519"/>
      <c r="K25" s="501" t="s">
        <v>241</v>
      </c>
      <c r="L25" s="727">
        <f>+L26+L37</f>
        <v>7858225000</v>
      </c>
      <c r="M25" s="727">
        <f t="shared" ref="M25:T25" si="17">+M26+M37+M78+M101+M187</f>
        <v>0</v>
      </c>
      <c r="N25" s="727">
        <f t="shared" si="17"/>
        <v>0</v>
      </c>
      <c r="O25" s="727">
        <f t="shared" si="17"/>
        <v>7858225000</v>
      </c>
      <c r="P25" s="727">
        <f>+P26+P37+P78+P101+P187</f>
        <v>2817822500</v>
      </c>
      <c r="Q25" s="727">
        <f>+Q26+Q37+Q78+Q101+Q187</f>
        <v>4118580000</v>
      </c>
      <c r="R25" s="727">
        <f>+R26+R37</f>
        <v>921822500</v>
      </c>
      <c r="S25" s="426" t="s">
        <v>849</v>
      </c>
      <c r="T25" s="426">
        <f t="shared" si="17"/>
        <v>0</v>
      </c>
      <c r="U25" s="601">
        <f>+U26+U37</f>
        <v>8167020364</v>
      </c>
      <c r="V25" s="737">
        <f t="shared" si="4"/>
        <v>1.0392958160398817</v>
      </c>
      <c r="W25" s="426"/>
      <c r="X25" s="522"/>
      <c r="Y25" s="522"/>
      <c r="Z25" s="738">
        <f t="shared" si="15"/>
        <v>7858225000</v>
      </c>
      <c r="AA25" s="739">
        <f t="shared" si="16"/>
        <v>0</v>
      </c>
    </row>
    <row r="26" spans="1:27" ht="22.5" customHeight="1" thickTop="1" thickBot="1" x14ac:dyDescent="0.3">
      <c r="A26" s="425">
        <v>1</v>
      </c>
      <c r="B26" s="505" t="s">
        <v>216</v>
      </c>
      <c r="C26" s="505" t="s">
        <v>216</v>
      </c>
      <c r="D26" s="505" t="s">
        <v>231</v>
      </c>
      <c r="E26" s="505" t="s">
        <v>220</v>
      </c>
      <c r="F26" s="505"/>
      <c r="G26" s="525"/>
      <c r="H26" s="505"/>
      <c r="I26" s="505"/>
      <c r="J26" s="505"/>
      <c r="K26" s="501" t="s">
        <v>242</v>
      </c>
      <c r="L26" s="727">
        <f>+L27</f>
        <v>3700000000</v>
      </c>
      <c r="M26" s="427">
        <f t="shared" ref="M26:U27" si="18">+M27</f>
        <v>0</v>
      </c>
      <c r="N26" s="427">
        <f t="shared" si="18"/>
        <v>0</v>
      </c>
      <c r="O26" s="426">
        <f t="shared" si="18"/>
        <v>3700000000</v>
      </c>
      <c r="P26" s="602">
        <f>+P27</f>
        <v>296000000</v>
      </c>
      <c r="Q26" s="667">
        <v>2664000000</v>
      </c>
      <c r="R26" s="604">
        <f t="shared" si="18"/>
        <v>740000000</v>
      </c>
      <c r="S26" s="427" t="s">
        <v>849</v>
      </c>
      <c r="T26" s="427">
        <f t="shared" si="18"/>
        <v>0</v>
      </c>
      <c r="U26" s="601">
        <f t="shared" si="18"/>
        <v>3919893774</v>
      </c>
      <c r="V26" s="737">
        <f t="shared" si="4"/>
        <v>1.0594307497297297</v>
      </c>
      <c r="W26" s="427"/>
      <c r="X26" s="522"/>
      <c r="Y26" s="522"/>
      <c r="Z26" s="738">
        <f t="shared" si="15"/>
        <v>3700000000</v>
      </c>
      <c r="AA26" s="739">
        <f t="shared" si="16"/>
        <v>0</v>
      </c>
    </row>
    <row r="27" spans="1:27" ht="22.5" customHeight="1" thickTop="1" thickBot="1" x14ac:dyDescent="0.3">
      <c r="A27" s="425">
        <v>1</v>
      </c>
      <c r="B27" s="505" t="s">
        <v>216</v>
      </c>
      <c r="C27" s="505" t="s">
        <v>216</v>
      </c>
      <c r="D27" s="505" t="s">
        <v>231</v>
      </c>
      <c r="E27" s="505" t="s">
        <v>220</v>
      </c>
      <c r="F27" s="505" t="s">
        <v>243</v>
      </c>
      <c r="G27" s="525"/>
      <c r="H27" s="505"/>
      <c r="I27" s="505"/>
      <c r="J27" s="505"/>
      <c r="K27" s="501" t="s">
        <v>244</v>
      </c>
      <c r="L27" s="426">
        <f>+L28</f>
        <v>3700000000</v>
      </c>
      <c r="M27" s="427">
        <f t="shared" si="18"/>
        <v>0</v>
      </c>
      <c r="N27" s="427">
        <f t="shared" si="18"/>
        <v>0</v>
      </c>
      <c r="O27" s="426">
        <f t="shared" si="18"/>
        <v>3700000000</v>
      </c>
      <c r="P27" s="602">
        <f t="shared" si="18"/>
        <v>296000000</v>
      </c>
      <c r="Q27" s="603">
        <f t="shared" si="18"/>
        <v>2664000000</v>
      </c>
      <c r="R27" s="604">
        <f t="shared" si="18"/>
        <v>740000000</v>
      </c>
      <c r="S27" s="427" t="str">
        <f t="shared" si="18"/>
        <v xml:space="preserve"> </v>
      </c>
      <c r="T27" s="427">
        <f t="shared" si="18"/>
        <v>0</v>
      </c>
      <c r="U27" s="601">
        <f t="shared" si="18"/>
        <v>3919893774</v>
      </c>
      <c r="V27" s="737">
        <f t="shared" si="4"/>
        <v>1.0594307497297297</v>
      </c>
      <c r="W27" s="427"/>
      <c r="X27" s="522"/>
      <c r="Y27" s="522"/>
      <c r="Z27" s="738">
        <f t="shared" si="15"/>
        <v>3700000000</v>
      </c>
      <c r="AA27" s="739">
        <f t="shared" si="16"/>
        <v>0</v>
      </c>
    </row>
    <row r="28" spans="1:27" ht="22.5" customHeight="1" thickTop="1" thickBot="1" x14ac:dyDescent="0.3">
      <c r="A28" s="425">
        <v>1</v>
      </c>
      <c r="B28" s="505" t="s">
        <v>216</v>
      </c>
      <c r="C28" s="505" t="s">
        <v>216</v>
      </c>
      <c r="D28" s="505" t="s">
        <v>231</v>
      </c>
      <c r="E28" s="505" t="s">
        <v>220</v>
      </c>
      <c r="F28" s="505" t="s">
        <v>243</v>
      </c>
      <c r="G28" s="525">
        <v>64</v>
      </c>
      <c r="H28" s="505"/>
      <c r="I28" s="505"/>
      <c r="J28" s="505"/>
      <c r="K28" s="501" t="s">
        <v>245</v>
      </c>
      <c r="L28" s="727">
        <f>+L29+L33</f>
        <v>3700000000</v>
      </c>
      <c r="M28" s="427">
        <f t="shared" ref="M28:U28" si="19">+M29+M33</f>
        <v>0</v>
      </c>
      <c r="N28" s="427">
        <f t="shared" si="19"/>
        <v>0</v>
      </c>
      <c r="O28" s="727">
        <f t="shared" si="19"/>
        <v>3700000000</v>
      </c>
      <c r="P28" s="602">
        <f t="shared" si="19"/>
        <v>296000000</v>
      </c>
      <c r="Q28" s="603">
        <f t="shared" si="19"/>
        <v>2664000000</v>
      </c>
      <c r="R28" s="604">
        <f t="shared" si="19"/>
        <v>740000000</v>
      </c>
      <c r="S28" s="427" t="s">
        <v>849</v>
      </c>
      <c r="T28" s="427">
        <f t="shared" si="19"/>
        <v>0</v>
      </c>
      <c r="U28" s="601">
        <f t="shared" si="19"/>
        <v>3919893774</v>
      </c>
      <c r="V28" s="737">
        <f t="shared" si="4"/>
        <v>1.0594307497297297</v>
      </c>
      <c r="W28" s="427"/>
      <c r="X28" s="522"/>
      <c r="Y28" s="522"/>
      <c r="Z28" s="738">
        <f t="shared" si="15"/>
        <v>3700000000</v>
      </c>
      <c r="AA28" s="739">
        <f t="shared" si="16"/>
        <v>0</v>
      </c>
    </row>
    <row r="29" spans="1:27" ht="22.5" customHeight="1" thickTop="1" thickBot="1" x14ac:dyDescent="0.3">
      <c r="A29" s="425">
        <v>1</v>
      </c>
      <c r="B29" s="505" t="s">
        <v>216</v>
      </c>
      <c r="C29" s="505" t="s">
        <v>216</v>
      </c>
      <c r="D29" s="505" t="s">
        <v>231</v>
      </c>
      <c r="E29" s="505" t="s">
        <v>220</v>
      </c>
      <c r="F29" s="505" t="s">
        <v>243</v>
      </c>
      <c r="G29" s="525">
        <v>64</v>
      </c>
      <c r="H29" s="505" t="s">
        <v>220</v>
      </c>
      <c r="I29" s="505"/>
      <c r="J29" s="505"/>
      <c r="K29" s="501" t="s">
        <v>246</v>
      </c>
      <c r="L29" s="727">
        <f>SUBTOTAL(9,L30:L32)</f>
        <v>3700000000</v>
      </c>
      <c r="M29" s="427">
        <f t="shared" ref="M29:U29" si="20">SUBTOTAL(9,M30:M32)</f>
        <v>0</v>
      </c>
      <c r="N29" s="427">
        <f t="shared" si="20"/>
        <v>0</v>
      </c>
      <c r="O29" s="426">
        <f t="shared" si="20"/>
        <v>3700000000</v>
      </c>
      <c r="P29" s="602">
        <f t="shared" si="20"/>
        <v>296000000</v>
      </c>
      <c r="Q29" s="603">
        <v>2664000000</v>
      </c>
      <c r="R29" s="604">
        <f t="shared" si="20"/>
        <v>740000000</v>
      </c>
      <c r="S29" s="427" t="s">
        <v>849</v>
      </c>
      <c r="T29" s="427">
        <f t="shared" si="20"/>
        <v>0</v>
      </c>
      <c r="U29" s="601">
        <f t="shared" si="20"/>
        <v>3919893774</v>
      </c>
      <c r="V29" s="737">
        <f t="shared" si="4"/>
        <v>1.0594307497297297</v>
      </c>
      <c r="W29" s="427"/>
      <c r="X29" s="522"/>
      <c r="Y29" s="522"/>
      <c r="Z29" s="738">
        <f t="shared" si="15"/>
        <v>2664000000</v>
      </c>
      <c r="AA29" s="739">
        <f t="shared" si="16"/>
        <v>-1036000000</v>
      </c>
    </row>
    <row r="30" spans="1:27" ht="22.5" customHeight="1" thickTop="1" thickBot="1" x14ac:dyDescent="0.3">
      <c r="A30" s="425">
        <v>1</v>
      </c>
      <c r="B30" s="505" t="s">
        <v>216</v>
      </c>
      <c r="C30" s="505" t="s">
        <v>216</v>
      </c>
      <c r="D30" s="505" t="s">
        <v>231</v>
      </c>
      <c r="E30" s="505" t="s">
        <v>220</v>
      </c>
      <c r="F30" s="505" t="s">
        <v>243</v>
      </c>
      <c r="G30" s="525">
        <v>64</v>
      </c>
      <c r="H30" s="505" t="s">
        <v>220</v>
      </c>
      <c r="I30" s="505" t="s">
        <v>216</v>
      </c>
      <c r="J30" s="505"/>
      <c r="K30" s="502" t="s">
        <v>247</v>
      </c>
      <c r="L30" s="427">
        <v>3700000000</v>
      </c>
      <c r="M30" s="427"/>
      <c r="N30" s="427"/>
      <c r="O30" s="744">
        <f>+L30+M30-N30</f>
        <v>3700000000</v>
      </c>
      <c r="P30" s="728">
        <v>296000000</v>
      </c>
      <c r="Q30" s="728">
        <v>2664000000</v>
      </c>
      <c r="R30" s="728">
        <v>740000000</v>
      </c>
      <c r="S30" s="427" t="s">
        <v>849</v>
      </c>
      <c r="T30" s="427"/>
      <c r="U30" s="608">
        <v>3919893774</v>
      </c>
      <c r="V30" s="737">
        <f t="shared" si="4"/>
        <v>1.0594307497297297</v>
      </c>
      <c r="W30" s="427"/>
      <c r="X30" s="522"/>
      <c r="Y30" s="522"/>
      <c r="Z30" s="738">
        <f t="shared" si="15"/>
        <v>3700000000</v>
      </c>
      <c r="AA30" s="739">
        <f t="shared" si="16"/>
        <v>0</v>
      </c>
    </row>
    <row r="31" spans="1:27" ht="22.5" customHeight="1" thickTop="1" thickBot="1" x14ac:dyDescent="0.3">
      <c r="A31" s="425">
        <v>1</v>
      </c>
      <c r="B31" s="505" t="s">
        <v>216</v>
      </c>
      <c r="C31" s="505" t="s">
        <v>216</v>
      </c>
      <c r="D31" s="505" t="s">
        <v>231</v>
      </c>
      <c r="E31" s="505" t="s">
        <v>220</v>
      </c>
      <c r="F31" s="505" t="s">
        <v>243</v>
      </c>
      <c r="G31" s="525">
        <v>64</v>
      </c>
      <c r="H31" s="505" t="s">
        <v>220</v>
      </c>
      <c r="I31" s="505" t="s">
        <v>227</v>
      </c>
      <c r="J31" s="505"/>
      <c r="K31" s="502" t="s">
        <v>248</v>
      </c>
      <c r="L31" s="427"/>
      <c r="M31" s="427"/>
      <c r="N31" s="427"/>
      <c r="O31" s="426">
        <f>+L31+M31-N31</f>
        <v>0</v>
      </c>
      <c r="P31" s="605"/>
      <c r="Q31" s="606"/>
      <c r="R31" s="607"/>
      <c r="S31" s="427" t="s">
        <v>849</v>
      </c>
      <c r="T31" s="427"/>
      <c r="U31" s="608"/>
      <c r="V31" s="737">
        <v>0</v>
      </c>
      <c r="W31" s="427"/>
      <c r="X31" s="522"/>
      <c r="Y31" s="522"/>
      <c r="Z31" s="738">
        <f t="shared" si="15"/>
        <v>0</v>
      </c>
      <c r="AA31" s="739">
        <f t="shared" si="16"/>
        <v>0</v>
      </c>
    </row>
    <row r="32" spans="1:27" ht="22.5" customHeight="1" thickTop="1" thickBot="1" x14ac:dyDescent="0.3">
      <c r="A32" s="425">
        <v>1</v>
      </c>
      <c r="B32" s="505" t="s">
        <v>216</v>
      </c>
      <c r="C32" s="505" t="s">
        <v>216</v>
      </c>
      <c r="D32" s="505" t="s">
        <v>231</v>
      </c>
      <c r="E32" s="505" t="s">
        <v>220</v>
      </c>
      <c r="F32" s="505" t="s">
        <v>243</v>
      </c>
      <c r="G32" s="525">
        <v>64</v>
      </c>
      <c r="H32" s="505" t="s">
        <v>220</v>
      </c>
      <c r="I32" s="505" t="s">
        <v>229</v>
      </c>
      <c r="J32" s="505"/>
      <c r="K32" s="502" t="s">
        <v>249</v>
      </c>
      <c r="L32" s="427"/>
      <c r="M32" s="427"/>
      <c r="N32" s="427"/>
      <c r="O32" s="426">
        <f>+L32+M32-N32</f>
        <v>0</v>
      </c>
      <c r="P32" s="605"/>
      <c r="Q32" s="606"/>
      <c r="R32" s="607"/>
      <c r="S32" s="427" t="s">
        <v>849</v>
      </c>
      <c r="T32" s="427"/>
      <c r="U32" s="608"/>
      <c r="V32" s="737">
        <v>0</v>
      </c>
      <c r="W32" s="427"/>
      <c r="X32" s="522"/>
      <c r="Y32" s="522"/>
      <c r="Z32" s="738">
        <f t="shared" si="15"/>
        <v>0</v>
      </c>
      <c r="AA32" s="739">
        <f t="shared" si="16"/>
        <v>0</v>
      </c>
    </row>
    <row r="33" spans="1:27" ht="22.5" customHeight="1" thickTop="1" thickBot="1" x14ac:dyDescent="0.3">
      <c r="A33" s="425">
        <v>1</v>
      </c>
      <c r="B33" s="505" t="s">
        <v>216</v>
      </c>
      <c r="C33" s="505" t="s">
        <v>216</v>
      </c>
      <c r="D33" s="505" t="s">
        <v>231</v>
      </c>
      <c r="E33" s="505" t="s">
        <v>220</v>
      </c>
      <c r="F33" s="505" t="s">
        <v>243</v>
      </c>
      <c r="G33" s="525">
        <v>64</v>
      </c>
      <c r="H33" s="505" t="s">
        <v>231</v>
      </c>
      <c r="I33" s="505"/>
      <c r="J33" s="505"/>
      <c r="K33" s="502" t="s">
        <v>250</v>
      </c>
      <c r="L33" s="427">
        <f>SUBTOTAL(9,L34:L36)</f>
        <v>0</v>
      </c>
      <c r="M33" s="427">
        <f t="shared" ref="M33:U33" si="21">SUBTOTAL(9,M34:M36)</f>
        <v>0</v>
      </c>
      <c r="N33" s="427">
        <f t="shared" si="21"/>
        <v>0</v>
      </c>
      <c r="O33" s="427">
        <f t="shared" si="21"/>
        <v>0</v>
      </c>
      <c r="P33" s="605">
        <f t="shared" si="21"/>
        <v>0</v>
      </c>
      <c r="Q33" s="606">
        <f t="shared" si="21"/>
        <v>0</v>
      </c>
      <c r="R33" s="607">
        <f t="shared" si="21"/>
        <v>0</v>
      </c>
      <c r="S33" s="427">
        <f t="shared" si="21"/>
        <v>0</v>
      </c>
      <c r="T33" s="427">
        <f t="shared" si="21"/>
        <v>0</v>
      </c>
      <c r="U33" s="608">
        <f t="shared" si="21"/>
        <v>0</v>
      </c>
      <c r="V33" s="427" t="e">
        <f t="shared" si="14"/>
        <v>#DIV/0!</v>
      </c>
      <c r="W33" s="427"/>
      <c r="X33" s="522"/>
      <c r="Y33" s="522"/>
    </row>
    <row r="34" spans="1:27" ht="22.5" customHeight="1" thickTop="1" thickBot="1" x14ac:dyDescent="0.3">
      <c r="A34" s="425">
        <v>1</v>
      </c>
      <c r="B34" s="505" t="s">
        <v>216</v>
      </c>
      <c r="C34" s="505" t="s">
        <v>216</v>
      </c>
      <c r="D34" s="505" t="s">
        <v>231</v>
      </c>
      <c r="E34" s="505" t="s">
        <v>220</v>
      </c>
      <c r="F34" s="505" t="s">
        <v>243</v>
      </c>
      <c r="G34" s="525">
        <v>64</v>
      </c>
      <c r="H34" s="505" t="s">
        <v>231</v>
      </c>
      <c r="I34" s="505" t="s">
        <v>216</v>
      </c>
      <c r="J34" s="505"/>
      <c r="K34" s="502" t="s">
        <v>251</v>
      </c>
      <c r="L34" s="427"/>
      <c r="M34" s="427"/>
      <c r="N34" s="427"/>
      <c r="O34" s="426">
        <f>+L34+M34-N34</f>
        <v>0</v>
      </c>
      <c r="P34" s="605"/>
      <c r="Q34" s="606"/>
      <c r="R34" s="607"/>
      <c r="S34" s="427"/>
      <c r="T34" s="427"/>
      <c r="U34" s="608"/>
      <c r="V34" s="737">
        <v>0</v>
      </c>
      <c r="W34" s="427"/>
      <c r="X34" s="522"/>
      <c r="Y34" s="522"/>
      <c r="Z34" s="738">
        <f t="shared" ref="Z34:Z45" si="22">SUBTOTAL(9,P34:S34)</f>
        <v>0</v>
      </c>
      <c r="AA34" s="739">
        <f t="shared" ref="AA34:AA45" si="23">+Z34-O34</f>
        <v>0</v>
      </c>
    </row>
    <row r="35" spans="1:27" ht="22.5" customHeight="1" thickTop="1" thickBot="1" x14ac:dyDescent="0.3">
      <c r="A35" s="425">
        <v>1</v>
      </c>
      <c r="B35" s="505" t="s">
        <v>216</v>
      </c>
      <c r="C35" s="505" t="s">
        <v>216</v>
      </c>
      <c r="D35" s="505" t="s">
        <v>231</v>
      </c>
      <c r="E35" s="505" t="s">
        <v>220</v>
      </c>
      <c r="F35" s="505" t="s">
        <v>243</v>
      </c>
      <c r="G35" s="525">
        <v>64</v>
      </c>
      <c r="H35" s="505" t="s">
        <v>231</v>
      </c>
      <c r="I35" s="505" t="s">
        <v>227</v>
      </c>
      <c r="J35" s="505"/>
      <c r="K35" s="502" t="s">
        <v>252</v>
      </c>
      <c r="L35" s="427"/>
      <c r="M35" s="427"/>
      <c r="N35" s="427"/>
      <c r="O35" s="426">
        <f>+L35+M35-N35</f>
        <v>0</v>
      </c>
      <c r="P35" s="605"/>
      <c r="Q35" s="606"/>
      <c r="R35" s="607"/>
      <c r="S35" s="427"/>
      <c r="T35" s="427"/>
      <c r="U35" s="608"/>
      <c r="V35" s="737">
        <v>0</v>
      </c>
      <c r="W35" s="427"/>
      <c r="X35" s="522"/>
      <c r="Y35" s="522"/>
      <c r="Z35" s="738">
        <f t="shared" si="22"/>
        <v>0</v>
      </c>
      <c r="AA35" s="739">
        <f t="shared" si="23"/>
        <v>0</v>
      </c>
    </row>
    <row r="36" spans="1:27" ht="22.5" customHeight="1" thickTop="1" thickBot="1" x14ac:dyDescent="0.3">
      <c r="A36" s="425">
        <v>1</v>
      </c>
      <c r="B36" s="505" t="s">
        <v>216</v>
      </c>
      <c r="C36" s="505" t="s">
        <v>216</v>
      </c>
      <c r="D36" s="505" t="s">
        <v>231</v>
      </c>
      <c r="E36" s="505" t="s">
        <v>220</v>
      </c>
      <c r="F36" s="505" t="s">
        <v>243</v>
      </c>
      <c r="G36" s="525">
        <v>64</v>
      </c>
      <c r="H36" s="505" t="s">
        <v>231</v>
      </c>
      <c r="I36" s="505" t="s">
        <v>229</v>
      </c>
      <c r="J36" s="505"/>
      <c r="K36" s="502" t="s">
        <v>253</v>
      </c>
      <c r="L36" s="427"/>
      <c r="M36" s="427"/>
      <c r="N36" s="427"/>
      <c r="O36" s="426">
        <f>+L36+M36-N36</f>
        <v>0</v>
      </c>
      <c r="P36" s="605"/>
      <c r="Q36" s="606"/>
      <c r="R36" s="607"/>
      <c r="S36" s="427"/>
      <c r="T36" s="427"/>
      <c r="U36" s="608"/>
      <c r="V36" s="737">
        <v>0</v>
      </c>
      <c r="W36" s="427"/>
      <c r="X36" s="522"/>
      <c r="Y36" s="522"/>
      <c r="Z36" s="738">
        <f t="shared" si="22"/>
        <v>0</v>
      </c>
      <c r="AA36" s="739">
        <f t="shared" si="23"/>
        <v>0</v>
      </c>
    </row>
    <row r="37" spans="1:27" ht="22.5" customHeight="1" thickTop="1" thickBot="1" x14ac:dyDescent="0.3">
      <c r="A37" s="425">
        <v>1</v>
      </c>
      <c r="B37" s="505" t="s">
        <v>216</v>
      </c>
      <c r="C37" s="505" t="s">
        <v>216</v>
      </c>
      <c r="D37" s="505" t="s">
        <v>231</v>
      </c>
      <c r="E37" s="505" t="s">
        <v>231</v>
      </c>
      <c r="F37" s="505"/>
      <c r="G37" s="525"/>
      <c r="H37" s="505"/>
      <c r="I37" s="505"/>
      <c r="J37" s="505"/>
      <c r="K37" s="501" t="s">
        <v>254</v>
      </c>
      <c r="L37" s="426">
        <f>+L38+L42+L50+L54+L58+L62+L66+L74+L78+L136</f>
        <v>4158225000</v>
      </c>
      <c r="M37" s="427">
        <f t="shared" ref="M37:S37" si="24">+M38+M42+M46+M50+M54+M58+M62+M66+M70+M74</f>
        <v>0</v>
      </c>
      <c r="N37" s="427">
        <f t="shared" si="24"/>
        <v>0</v>
      </c>
      <c r="O37" s="426">
        <f t="shared" si="24"/>
        <v>3940225000</v>
      </c>
      <c r="P37" s="602">
        <f>+P38+P42+P46+P50+P54+P58+P62+P66+P70+P74</f>
        <v>2500022500</v>
      </c>
      <c r="Q37" s="603">
        <f>+Q38+Q42+Q46+Q50+Q54+Q58+Q62+Q66+Q70+Q74</f>
        <v>1280180000</v>
      </c>
      <c r="R37" s="604">
        <f>+R38+R42+R50+R54+R58+R62+R74+R78+R136</f>
        <v>181822500</v>
      </c>
      <c r="S37" s="427">
        <f t="shared" si="24"/>
        <v>0</v>
      </c>
      <c r="T37" s="427">
        <v>0</v>
      </c>
      <c r="U37" s="601">
        <f>+U38+U42+U46+U50+U54+U58+U62+U66+U70+U74+U78+U136</f>
        <v>4247126590</v>
      </c>
      <c r="V37" s="737">
        <f t="shared" si="4"/>
        <v>1.0778893565722769</v>
      </c>
      <c r="W37" s="427"/>
      <c r="X37" s="522"/>
      <c r="Y37" s="522"/>
      <c r="Z37" s="738">
        <f t="shared" si="22"/>
        <v>3962025000</v>
      </c>
      <c r="AA37" s="739">
        <f t="shared" si="23"/>
        <v>21800000</v>
      </c>
    </row>
    <row r="38" spans="1:27" ht="22.5" customHeight="1" thickTop="1" thickBot="1" x14ac:dyDescent="0.3">
      <c r="A38" s="425">
        <v>1</v>
      </c>
      <c r="B38" s="505" t="s">
        <v>216</v>
      </c>
      <c r="C38" s="505" t="s">
        <v>216</v>
      </c>
      <c r="D38" s="505" t="s">
        <v>231</v>
      </c>
      <c r="E38" s="505" t="s">
        <v>231</v>
      </c>
      <c r="F38" s="505" t="s">
        <v>255</v>
      </c>
      <c r="G38" s="525"/>
      <c r="H38" s="505"/>
      <c r="I38" s="505"/>
      <c r="J38" s="505"/>
      <c r="K38" s="501" t="s">
        <v>256</v>
      </c>
      <c r="L38" s="727">
        <f>SUBTOTAL(9,L39:L41)</f>
        <v>76000000</v>
      </c>
      <c r="M38" s="427">
        <f t="shared" ref="M38:U38" si="25">SUBTOTAL(9,M39:M41)</f>
        <v>0</v>
      </c>
      <c r="N38" s="427">
        <f t="shared" si="25"/>
        <v>0</v>
      </c>
      <c r="O38" s="727">
        <f t="shared" si="25"/>
        <v>76000000</v>
      </c>
      <c r="P38" s="602">
        <f t="shared" si="25"/>
        <v>7600000</v>
      </c>
      <c r="Q38" s="603">
        <f t="shared" si="25"/>
        <v>60800000</v>
      </c>
      <c r="R38" s="604">
        <f t="shared" si="25"/>
        <v>7600000</v>
      </c>
      <c r="S38" s="427">
        <f t="shared" si="25"/>
        <v>0</v>
      </c>
      <c r="T38" s="427">
        <f>+U37+U30</f>
        <v>8167020364</v>
      </c>
      <c r="U38" s="601">
        <f t="shared" si="25"/>
        <v>3270387</v>
      </c>
      <c r="V38" s="737">
        <f t="shared" si="4"/>
        <v>4.3031407894736841E-2</v>
      </c>
      <c r="W38" s="427"/>
      <c r="X38" s="522"/>
      <c r="Y38" s="522"/>
      <c r="Z38" s="738">
        <f t="shared" si="22"/>
        <v>0</v>
      </c>
      <c r="AA38" s="739">
        <f t="shared" si="23"/>
        <v>-76000000</v>
      </c>
    </row>
    <row r="39" spans="1:27" ht="22.5" customHeight="1" thickTop="1" thickBot="1" x14ac:dyDescent="0.3">
      <c r="A39" s="425">
        <v>1</v>
      </c>
      <c r="B39" s="505" t="s">
        <v>216</v>
      </c>
      <c r="C39" s="505" t="s">
        <v>216</v>
      </c>
      <c r="D39" s="505" t="s">
        <v>231</v>
      </c>
      <c r="E39" s="505" t="s">
        <v>231</v>
      </c>
      <c r="F39" s="505" t="s">
        <v>255</v>
      </c>
      <c r="G39" s="525">
        <v>1</v>
      </c>
      <c r="H39" s="505"/>
      <c r="I39" s="505"/>
      <c r="J39" s="505"/>
      <c r="K39" s="502" t="s">
        <v>257</v>
      </c>
      <c r="L39" s="427">
        <v>76000000</v>
      </c>
      <c r="M39" s="427"/>
      <c r="N39" s="427"/>
      <c r="O39" s="744">
        <f>+L39+M39-N39</f>
        <v>76000000</v>
      </c>
      <c r="P39" s="605">
        <f>+O39*10%</f>
        <v>7600000</v>
      </c>
      <c r="Q39" s="606">
        <f>+O39*80%</f>
        <v>60800000</v>
      </c>
      <c r="R39" s="607">
        <f>+O39*10%</f>
        <v>7600000</v>
      </c>
      <c r="S39" s="427"/>
      <c r="T39" s="427"/>
      <c r="U39" s="608">
        <v>3270387</v>
      </c>
      <c r="V39" s="737">
        <f t="shared" si="4"/>
        <v>4.3031407894736841E-2</v>
      </c>
      <c r="W39" s="427"/>
      <c r="X39" s="522"/>
      <c r="Y39" s="522"/>
      <c r="Z39" s="738">
        <f t="shared" si="22"/>
        <v>76000000</v>
      </c>
      <c r="AA39" s="739">
        <f t="shared" si="23"/>
        <v>0</v>
      </c>
    </row>
    <row r="40" spans="1:27" ht="22.5" customHeight="1" thickTop="1" thickBot="1" x14ac:dyDescent="0.3">
      <c r="A40" s="425">
        <v>1</v>
      </c>
      <c r="B40" s="505" t="s">
        <v>216</v>
      </c>
      <c r="C40" s="505" t="s">
        <v>216</v>
      </c>
      <c r="D40" s="505" t="s">
        <v>231</v>
      </c>
      <c r="E40" s="505" t="s">
        <v>231</v>
      </c>
      <c r="F40" s="505" t="s">
        <v>255</v>
      </c>
      <c r="G40" s="525">
        <v>2</v>
      </c>
      <c r="H40" s="505"/>
      <c r="I40" s="505"/>
      <c r="J40" s="505"/>
      <c r="K40" s="502" t="s">
        <v>258</v>
      </c>
      <c r="L40" s="427"/>
      <c r="M40" s="427"/>
      <c r="N40" s="427"/>
      <c r="O40" s="426">
        <f>+L40+M40-N40</f>
        <v>0</v>
      </c>
      <c r="P40" s="605"/>
      <c r="Q40" s="606"/>
      <c r="R40" s="607"/>
      <c r="S40" s="427"/>
      <c r="T40" s="427"/>
      <c r="U40" s="608"/>
      <c r="V40" s="737">
        <v>0</v>
      </c>
      <c r="W40" s="427"/>
      <c r="X40" s="522"/>
      <c r="Y40" s="522"/>
      <c r="Z40" s="738">
        <f t="shared" si="22"/>
        <v>0</v>
      </c>
      <c r="AA40" s="739">
        <f t="shared" si="23"/>
        <v>0</v>
      </c>
    </row>
    <row r="41" spans="1:27" ht="22.5" customHeight="1" thickTop="1" thickBot="1" x14ac:dyDescent="0.3">
      <c r="A41" s="425">
        <v>1</v>
      </c>
      <c r="B41" s="505" t="s">
        <v>216</v>
      </c>
      <c r="C41" s="505" t="s">
        <v>216</v>
      </c>
      <c r="D41" s="505" t="s">
        <v>231</v>
      </c>
      <c r="E41" s="505" t="s">
        <v>231</v>
      </c>
      <c r="F41" s="505" t="s">
        <v>255</v>
      </c>
      <c r="G41" s="525">
        <v>3</v>
      </c>
      <c r="H41" s="505"/>
      <c r="I41" s="505"/>
      <c r="J41" s="505"/>
      <c r="K41" s="502" t="s">
        <v>259</v>
      </c>
      <c r="L41" s="427"/>
      <c r="M41" s="427"/>
      <c r="N41" s="427"/>
      <c r="O41" s="426">
        <f>+L41+M41-N41</f>
        <v>0</v>
      </c>
      <c r="P41" s="605"/>
      <c r="Q41" s="606"/>
      <c r="R41" s="607"/>
      <c r="S41" s="427"/>
      <c r="T41" s="427"/>
      <c r="U41" s="608"/>
      <c r="V41" s="737">
        <v>0</v>
      </c>
      <c r="W41" s="427"/>
      <c r="X41" s="522"/>
      <c r="Y41" s="522"/>
      <c r="Z41" s="738">
        <f t="shared" si="22"/>
        <v>0</v>
      </c>
      <c r="AA41" s="739">
        <f t="shared" si="23"/>
        <v>0</v>
      </c>
    </row>
    <row r="42" spans="1:27" ht="22.5" customHeight="1" thickTop="1" thickBot="1" x14ac:dyDescent="0.3">
      <c r="A42" s="425">
        <v>1</v>
      </c>
      <c r="B42" s="505" t="s">
        <v>216</v>
      </c>
      <c r="C42" s="505" t="s">
        <v>216</v>
      </c>
      <c r="D42" s="505" t="s">
        <v>231</v>
      </c>
      <c r="E42" s="505" t="s">
        <v>231</v>
      </c>
      <c r="F42" s="505" t="s">
        <v>260</v>
      </c>
      <c r="G42" s="525"/>
      <c r="H42" s="505"/>
      <c r="I42" s="505"/>
      <c r="J42" s="505"/>
      <c r="K42" s="501" t="s">
        <v>261</v>
      </c>
      <c r="L42" s="727">
        <f>SUBTOTAL(9,L43:L45)</f>
        <v>337000000</v>
      </c>
      <c r="M42" s="427">
        <f t="shared" ref="M42:U42" si="26">SUBTOTAL(9,M43:M45)</f>
        <v>0</v>
      </c>
      <c r="N42" s="427">
        <f t="shared" si="26"/>
        <v>0</v>
      </c>
      <c r="O42" s="727">
        <f t="shared" si="26"/>
        <v>337000000</v>
      </c>
      <c r="P42" s="602">
        <f t="shared" si="26"/>
        <v>33700000</v>
      </c>
      <c r="Q42" s="603">
        <f t="shared" si="26"/>
        <v>269600000</v>
      </c>
      <c r="R42" s="604">
        <f t="shared" si="26"/>
        <v>33700000</v>
      </c>
      <c r="S42" s="427">
        <f t="shared" si="26"/>
        <v>0</v>
      </c>
      <c r="T42" s="427">
        <f t="shared" si="26"/>
        <v>0</v>
      </c>
      <c r="U42" s="601">
        <f t="shared" si="26"/>
        <v>439096698</v>
      </c>
      <c r="V42" s="737">
        <f t="shared" si="4"/>
        <v>1.3029575608308606</v>
      </c>
      <c r="W42" s="427"/>
      <c r="X42" s="522"/>
      <c r="Y42" s="522"/>
      <c r="Z42" s="738">
        <f t="shared" si="22"/>
        <v>0</v>
      </c>
      <c r="AA42" s="739">
        <f t="shared" si="23"/>
        <v>-337000000</v>
      </c>
    </row>
    <row r="43" spans="1:27" ht="22.5" customHeight="1" thickTop="1" thickBot="1" x14ac:dyDescent="0.3">
      <c r="A43" s="425">
        <v>1</v>
      </c>
      <c r="B43" s="505" t="s">
        <v>216</v>
      </c>
      <c r="C43" s="505" t="s">
        <v>216</v>
      </c>
      <c r="D43" s="505" t="s">
        <v>231</v>
      </c>
      <c r="E43" s="505" t="s">
        <v>231</v>
      </c>
      <c r="F43" s="505" t="s">
        <v>260</v>
      </c>
      <c r="G43" s="525">
        <v>1</v>
      </c>
      <c r="H43" s="505"/>
      <c r="I43" s="505"/>
      <c r="J43" s="505"/>
      <c r="K43" s="502" t="s">
        <v>262</v>
      </c>
      <c r="L43" s="427">
        <v>337000000</v>
      </c>
      <c r="M43" s="427"/>
      <c r="N43" s="427"/>
      <c r="O43" s="736">
        <f>+L43+M43-N43</f>
        <v>337000000</v>
      </c>
      <c r="P43" s="728">
        <v>33700000</v>
      </c>
      <c r="Q43" s="728">
        <f>+O43*80%</f>
        <v>269600000</v>
      </c>
      <c r="R43" s="728">
        <f>+O43*10%</f>
        <v>33700000</v>
      </c>
      <c r="S43" s="427" t="s">
        <v>849</v>
      </c>
      <c r="T43" s="427"/>
      <c r="U43" s="608">
        <v>439096698</v>
      </c>
      <c r="V43" s="737">
        <f t="shared" si="4"/>
        <v>1.3029575608308606</v>
      </c>
      <c r="W43" s="427"/>
      <c r="X43" s="522"/>
      <c r="Y43" s="522"/>
      <c r="Z43" s="738">
        <f t="shared" si="22"/>
        <v>337000000</v>
      </c>
      <c r="AA43" s="739">
        <f t="shared" si="23"/>
        <v>0</v>
      </c>
    </row>
    <row r="44" spans="1:27" ht="22.5" customHeight="1" thickTop="1" thickBot="1" x14ac:dyDescent="0.3">
      <c r="A44" s="425">
        <v>1</v>
      </c>
      <c r="B44" s="505" t="s">
        <v>216</v>
      </c>
      <c r="C44" s="505" t="s">
        <v>216</v>
      </c>
      <c r="D44" s="505" t="s">
        <v>231</v>
      </c>
      <c r="E44" s="505" t="s">
        <v>231</v>
      </c>
      <c r="F44" s="505" t="s">
        <v>260</v>
      </c>
      <c r="G44" s="525">
        <v>2</v>
      </c>
      <c r="H44" s="505"/>
      <c r="I44" s="505"/>
      <c r="J44" s="505"/>
      <c r="K44" s="502" t="s">
        <v>263</v>
      </c>
      <c r="L44" s="427"/>
      <c r="M44" s="427"/>
      <c r="N44" s="427"/>
      <c r="O44" s="727">
        <f>+L44+M44-N44</f>
        <v>0</v>
      </c>
      <c r="P44" s="728"/>
      <c r="Q44" s="728"/>
      <c r="R44" s="728"/>
      <c r="S44" s="427"/>
      <c r="T44" s="427"/>
      <c r="U44" s="608"/>
      <c r="V44" s="737">
        <v>0</v>
      </c>
      <c r="W44" s="427"/>
      <c r="X44" s="522"/>
      <c r="Y44" s="522"/>
      <c r="Z44" s="738">
        <f t="shared" si="22"/>
        <v>0</v>
      </c>
      <c r="AA44" s="739">
        <f t="shared" si="23"/>
        <v>0</v>
      </c>
    </row>
    <row r="45" spans="1:27" ht="22.5" customHeight="1" thickTop="1" thickBot="1" x14ac:dyDescent="0.3">
      <c r="A45" s="425">
        <v>1</v>
      </c>
      <c r="B45" s="505" t="s">
        <v>216</v>
      </c>
      <c r="C45" s="505" t="s">
        <v>216</v>
      </c>
      <c r="D45" s="505" t="s">
        <v>231</v>
      </c>
      <c r="E45" s="505" t="s">
        <v>231</v>
      </c>
      <c r="F45" s="505" t="s">
        <v>260</v>
      </c>
      <c r="G45" s="525">
        <v>3</v>
      </c>
      <c r="H45" s="505"/>
      <c r="I45" s="505"/>
      <c r="J45" s="505"/>
      <c r="K45" s="502" t="s">
        <v>264</v>
      </c>
      <c r="L45" s="427"/>
      <c r="M45" s="427"/>
      <c r="N45" s="427"/>
      <c r="O45" s="426">
        <f>+L45+M45-N45</f>
        <v>0</v>
      </c>
      <c r="P45" s="605"/>
      <c r="Q45" s="606"/>
      <c r="R45" s="607"/>
      <c r="S45" s="427"/>
      <c r="T45" s="427"/>
      <c r="U45" s="608"/>
      <c r="V45" s="737">
        <v>0</v>
      </c>
      <c r="W45" s="427"/>
      <c r="X45" s="522"/>
      <c r="Y45" s="522"/>
      <c r="Z45" s="738">
        <f t="shared" si="22"/>
        <v>0</v>
      </c>
      <c r="AA45" s="739">
        <f t="shared" si="23"/>
        <v>0</v>
      </c>
    </row>
    <row r="46" spans="1:27" ht="22.5" customHeight="1" thickTop="1" thickBot="1" x14ac:dyDescent="0.3">
      <c r="A46" s="425">
        <v>1</v>
      </c>
      <c r="B46" s="505" t="s">
        <v>216</v>
      </c>
      <c r="C46" s="505" t="s">
        <v>216</v>
      </c>
      <c r="D46" s="505" t="s">
        <v>231</v>
      </c>
      <c r="E46" s="505" t="s">
        <v>231</v>
      </c>
      <c r="F46" s="505" t="s">
        <v>265</v>
      </c>
      <c r="G46" s="525"/>
      <c r="H46" s="505"/>
      <c r="I46" s="505"/>
      <c r="J46" s="505"/>
      <c r="K46" s="501" t="s">
        <v>266</v>
      </c>
      <c r="L46" s="426">
        <f>SUBTOTAL(9,L47:L49)</f>
        <v>0</v>
      </c>
      <c r="M46" s="426">
        <f t="shared" ref="M46:U46" si="27">SUBTOTAL(9,M47:M49)</f>
        <v>0</v>
      </c>
      <c r="N46" s="426">
        <f t="shared" si="27"/>
        <v>0</v>
      </c>
      <c r="O46" s="426">
        <f t="shared" si="27"/>
        <v>0</v>
      </c>
      <c r="P46" s="602">
        <f t="shared" si="27"/>
        <v>0</v>
      </c>
      <c r="Q46" s="603">
        <f t="shared" si="27"/>
        <v>0</v>
      </c>
      <c r="R46" s="604">
        <f t="shared" si="27"/>
        <v>0</v>
      </c>
      <c r="S46" s="426">
        <f t="shared" si="27"/>
        <v>0</v>
      </c>
      <c r="T46" s="426">
        <f t="shared" si="27"/>
        <v>0</v>
      </c>
      <c r="U46" s="601">
        <f t="shared" si="27"/>
        <v>0</v>
      </c>
      <c r="V46" s="426" t="e">
        <f t="shared" si="14"/>
        <v>#DIV/0!</v>
      </c>
      <c r="W46" s="426"/>
      <c r="X46" s="522"/>
      <c r="Y46" s="522"/>
    </row>
    <row r="47" spans="1:27" ht="22.5" customHeight="1" thickTop="1" thickBot="1" x14ac:dyDescent="0.3">
      <c r="A47" s="425">
        <v>1</v>
      </c>
      <c r="B47" s="505" t="s">
        <v>216</v>
      </c>
      <c r="C47" s="505" t="s">
        <v>216</v>
      </c>
      <c r="D47" s="505" t="s">
        <v>231</v>
      </c>
      <c r="E47" s="505" t="s">
        <v>231</v>
      </c>
      <c r="F47" s="505" t="s">
        <v>265</v>
      </c>
      <c r="G47" s="525">
        <v>1</v>
      </c>
      <c r="H47" s="505"/>
      <c r="I47" s="505"/>
      <c r="J47" s="505"/>
      <c r="K47" s="502" t="s">
        <v>267</v>
      </c>
      <c r="L47" s="426"/>
      <c r="M47" s="426"/>
      <c r="N47" s="426"/>
      <c r="O47" s="426">
        <f>+L47+M47-N47</f>
        <v>0</v>
      </c>
      <c r="P47" s="602"/>
      <c r="Q47" s="603"/>
      <c r="R47" s="604"/>
      <c r="S47" s="426"/>
      <c r="T47" s="426"/>
      <c r="U47" s="601"/>
      <c r="V47" s="737">
        <v>0</v>
      </c>
      <c r="W47" s="426"/>
      <c r="X47" s="522"/>
      <c r="Y47" s="522"/>
      <c r="Z47" s="738">
        <f t="shared" ref="Z47:Z69" si="28">SUBTOTAL(9,P47:S47)</f>
        <v>0</v>
      </c>
      <c r="AA47" s="739">
        <f t="shared" ref="AA47:AA69" si="29">+Z47-O47</f>
        <v>0</v>
      </c>
    </row>
    <row r="48" spans="1:27" ht="22.5" customHeight="1" thickTop="1" thickBot="1" x14ac:dyDescent="0.3">
      <c r="A48" s="425">
        <v>1</v>
      </c>
      <c r="B48" s="505" t="s">
        <v>216</v>
      </c>
      <c r="C48" s="505" t="s">
        <v>216</v>
      </c>
      <c r="D48" s="505" t="s">
        <v>231</v>
      </c>
      <c r="E48" s="505" t="s">
        <v>231</v>
      </c>
      <c r="F48" s="505" t="s">
        <v>265</v>
      </c>
      <c r="G48" s="525">
        <v>2</v>
      </c>
      <c r="H48" s="505"/>
      <c r="I48" s="505"/>
      <c r="J48" s="505"/>
      <c r="K48" s="502" t="s">
        <v>268</v>
      </c>
      <c r="L48" s="426"/>
      <c r="M48" s="426"/>
      <c r="N48" s="426"/>
      <c r="O48" s="426">
        <f>+L48+M48-N48</f>
        <v>0</v>
      </c>
      <c r="P48" s="602"/>
      <c r="Q48" s="603"/>
      <c r="R48" s="604"/>
      <c r="S48" s="426"/>
      <c r="T48" s="426"/>
      <c r="U48" s="601"/>
      <c r="V48" s="737">
        <v>0</v>
      </c>
      <c r="W48" s="426"/>
      <c r="X48" s="522"/>
      <c r="Y48" s="522"/>
      <c r="Z48" s="738">
        <f t="shared" si="28"/>
        <v>0</v>
      </c>
      <c r="AA48" s="739">
        <f t="shared" si="29"/>
        <v>0</v>
      </c>
    </row>
    <row r="49" spans="1:27" ht="22.5" customHeight="1" thickTop="1" thickBot="1" x14ac:dyDescent="0.3">
      <c r="A49" s="425">
        <v>1</v>
      </c>
      <c r="B49" s="505" t="s">
        <v>216</v>
      </c>
      <c r="C49" s="505" t="s">
        <v>216</v>
      </c>
      <c r="D49" s="505" t="s">
        <v>231</v>
      </c>
      <c r="E49" s="505" t="s">
        <v>231</v>
      </c>
      <c r="F49" s="505" t="s">
        <v>265</v>
      </c>
      <c r="G49" s="525">
        <v>3</v>
      </c>
      <c r="H49" s="505"/>
      <c r="I49" s="505"/>
      <c r="J49" s="505"/>
      <c r="K49" s="502" t="s">
        <v>269</v>
      </c>
      <c r="L49" s="426"/>
      <c r="M49" s="426"/>
      <c r="N49" s="426"/>
      <c r="O49" s="426">
        <f>+L49+M49-N49</f>
        <v>0</v>
      </c>
      <c r="P49" s="602"/>
      <c r="Q49" s="603"/>
      <c r="R49" s="604"/>
      <c r="S49" s="426"/>
      <c r="T49" s="426"/>
      <c r="U49" s="601"/>
      <c r="V49" s="737">
        <v>0</v>
      </c>
      <c r="W49" s="426"/>
      <c r="X49" s="522"/>
      <c r="Y49" s="522"/>
      <c r="Z49" s="738">
        <f t="shared" si="28"/>
        <v>0</v>
      </c>
      <c r="AA49" s="739">
        <f t="shared" si="29"/>
        <v>0</v>
      </c>
    </row>
    <row r="50" spans="1:27" ht="22.5" customHeight="1" thickTop="1" thickBot="1" x14ac:dyDescent="0.3">
      <c r="A50" s="425">
        <v>1</v>
      </c>
      <c r="B50" s="505" t="s">
        <v>216</v>
      </c>
      <c r="C50" s="505" t="s">
        <v>216</v>
      </c>
      <c r="D50" s="505" t="s">
        <v>231</v>
      </c>
      <c r="E50" s="505" t="s">
        <v>231</v>
      </c>
      <c r="F50" s="505" t="s">
        <v>270</v>
      </c>
      <c r="G50" s="525"/>
      <c r="H50" s="505"/>
      <c r="I50" s="505"/>
      <c r="J50" s="505"/>
      <c r="K50" s="501" t="s">
        <v>271</v>
      </c>
      <c r="L50" s="727">
        <f>SUBTOTAL(9,L51:L53)</f>
        <v>279000000</v>
      </c>
      <c r="M50" s="427">
        <f t="shared" ref="M50:U50" si="30">SUBTOTAL(9,M51:M53)</f>
        <v>0</v>
      </c>
      <c r="N50" s="427">
        <f t="shared" si="30"/>
        <v>0</v>
      </c>
      <c r="O50" s="727">
        <f t="shared" si="30"/>
        <v>279000000</v>
      </c>
      <c r="P50" s="602">
        <f t="shared" si="30"/>
        <v>27900000</v>
      </c>
      <c r="Q50" s="603">
        <f t="shared" si="30"/>
        <v>223200000</v>
      </c>
      <c r="R50" s="604">
        <f t="shared" si="30"/>
        <v>27900000</v>
      </c>
      <c r="S50" s="427">
        <f t="shared" si="30"/>
        <v>0</v>
      </c>
      <c r="T50" s="427">
        <f t="shared" si="30"/>
        <v>0</v>
      </c>
      <c r="U50" s="601">
        <f t="shared" si="30"/>
        <v>706464965</v>
      </c>
      <c r="V50" s="737">
        <f t="shared" si="4"/>
        <v>2.5321324910394267</v>
      </c>
      <c r="W50" s="427"/>
      <c r="X50" s="522"/>
      <c r="Y50" s="522"/>
      <c r="Z50" s="738">
        <f t="shared" si="28"/>
        <v>0</v>
      </c>
      <c r="AA50" s="739">
        <f t="shared" si="29"/>
        <v>-279000000</v>
      </c>
    </row>
    <row r="51" spans="1:27" ht="22.5" customHeight="1" thickTop="1" thickBot="1" x14ac:dyDescent="0.3">
      <c r="A51" s="425">
        <v>1</v>
      </c>
      <c r="B51" s="505" t="s">
        <v>216</v>
      </c>
      <c r="C51" s="505" t="s">
        <v>216</v>
      </c>
      <c r="D51" s="505" t="s">
        <v>231</v>
      </c>
      <c r="E51" s="505" t="s">
        <v>231</v>
      </c>
      <c r="F51" s="505" t="s">
        <v>270</v>
      </c>
      <c r="G51" s="525">
        <v>1</v>
      </c>
      <c r="H51" s="505"/>
      <c r="I51" s="505"/>
      <c r="J51" s="505"/>
      <c r="K51" s="502" t="s">
        <v>272</v>
      </c>
      <c r="L51" s="427">
        <v>279000000</v>
      </c>
      <c r="M51" s="427"/>
      <c r="N51" s="427"/>
      <c r="O51" s="744">
        <v>279000000</v>
      </c>
      <c r="P51" s="728">
        <f>+O51*10%</f>
        <v>27900000</v>
      </c>
      <c r="Q51" s="728">
        <f>+O51*80%</f>
        <v>223200000</v>
      </c>
      <c r="R51" s="728">
        <f>+O51*10%</f>
        <v>27900000</v>
      </c>
      <c r="S51" s="427"/>
      <c r="T51" s="427"/>
      <c r="U51" s="608">
        <v>706464965</v>
      </c>
      <c r="V51" s="737">
        <f t="shared" si="4"/>
        <v>2.5321324910394267</v>
      </c>
      <c r="W51" s="427"/>
      <c r="X51" s="522"/>
      <c r="Y51" s="522"/>
      <c r="Z51" s="738">
        <f t="shared" si="28"/>
        <v>279000000</v>
      </c>
      <c r="AA51" s="739">
        <f t="shared" si="29"/>
        <v>0</v>
      </c>
    </row>
    <row r="52" spans="1:27" ht="22.5" customHeight="1" thickTop="1" thickBot="1" x14ac:dyDescent="0.3">
      <c r="A52" s="425">
        <v>1</v>
      </c>
      <c r="B52" s="505" t="s">
        <v>216</v>
      </c>
      <c r="C52" s="505" t="s">
        <v>216</v>
      </c>
      <c r="D52" s="505" t="s">
        <v>231</v>
      </c>
      <c r="E52" s="505" t="s">
        <v>231</v>
      </c>
      <c r="F52" s="505" t="s">
        <v>270</v>
      </c>
      <c r="G52" s="525">
        <v>2</v>
      </c>
      <c r="H52" s="505"/>
      <c r="I52" s="505"/>
      <c r="J52" s="505"/>
      <c r="K52" s="502" t="s">
        <v>273</v>
      </c>
      <c r="L52" s="427"/>
      <c r="M52" s="427"/>
      <c r="N52" s="427"/>
      <c r="O52" s="426">
        <f>+L52+M52-N52</f>
        <v>0</v>
      </c>
      <c r="P52" s="605"/>
      <c r="Q52" s="606"/>
      <c r="R52" s="607"/>
      <c r="S52" s="427"/>
      <c r="T52" s="427"/>
      <c r="U52" s="608"/>
      <c r="V52" s="737">
        <v>0</v>
      </c>
      <c r="W52" s="427"/>
      <c r="X52" s="522"/>
      <c r="Y52" s="522"/>
      <c r="Z52" s="738">
        <f t="shared" si="28"/>
        <v>0</v>
      </c>
      <c r="AA52" s="739">
        <f t="shared" si="29"/>
        <v>0</v>
      </c>
    </row>
    <row r="53" spans="1:27" ht="22.5" customHeight="1" thickTop="1" thickBot="1" x14ac:dyDescent="0.3">
      <c r="A53" s="425">
        <v>1</v>
      </c>
      <c r="B53" s="505" t="s">
        <v>216</v>
      </c>
      <c r="C53" s="505" t="s">
        <v>216</v>
      </c>
      <c r="D53" s="505" t="s">
        <v>231</v>
      </c>
      <c r="E53" s="505" t="s">
        <v>231</v>
      </c>
      <c r="F53" s="505" t="s">
        <v>270</v>
      </c>
      <c r="G53" s="525">
        <v>3</v>
      </c>
      <c r="H53" s="505"/>
      <c r="I53" s="505"/>
      <c r="J53" s="505"/>
      <c r="K53" s="502" t="s">
        <v>274</v>
      </c>
      <c r="L53" s="427"/>
      <c r="M53" s="427"/>
      <c r="N53" s="427"/>
      <c r="O53" s="426">
        <f>+L53+M53-N53</f>
        <v>0</v>
      </c>
      <c r="P53" s="605"/>
      <c r="Q53" s="606"/>
      <c r="R53" s="607"/>
      <c r="S53" s="427"/>
      <c r="T53" s="427"/>
      <c r="U53" s="608"/>
      <c r="V53" s="737">
        <v>0</v>
      </c>
      <c r="W53" s="427"/>
      <c r="X53" s="522"/>
      <c r="Y53" s="522"/>
      <c r="Z53" s="738">
        <f t="shared" si="28"/>
        <v>0</v>
      </c>
      <c r="AA53" s="739">
        <f t="shared" si="29"/>
        <v>0</v>
      </c>
    </row>
    <row r="54" spans="1:27" ht="22.5" customHeight="1" thickTop="1" thickBot="1" x14ac:dyDescent="0.3">
      <c r="A54" s="425">
        <v>1</v>
      </c>
      <c r="B54" s="505" t="s">
        <v>216</v>
      </c>
      <c r="C54" s="505" t="s">
        <v>216</v>
      </c>
      <c r="D54" s="505" t="s">
        <v>231</v>
      </c>
      <c r="E54" s="505" t="s">
        <v>231</v>
      </c>
      <c r="F54" s="505" t="s">
        <v>275</v>
      </c>
      <c r="G54" s="525"/>
      <c r="H54" s="505"/>
      <c r="I54" s="505"/>
      <c r="J54" s="505"/>
      <c r="K54" s="501" t="s">
        <v>276</v>
      </c>
      <c r="L54" s="727">
        <f>SUBTOTAL(9,L55:L57)</f>
        <v>903000000</v>
      </c>
      <c r="M54" s="427">
        <f t="shared" ref="M54:U54" si="31">SUBTOTAL(9,M55:M57)</f>
        <v>0</v>
      </c>
      <c r="N54" s="427">
        <f t="shared" si="31"/>
        <v>0</v>
      </c>
      <c r="O54" s="727">
        <f t="shared" si="31"/>
        <v>903000000</v>
      </c>
      <c r="P54" s="602">
        <f t="shared" si="31"/>
        <v>90300000</v>
      </c>
      <c r="Q54" s="603">
        <f t="shared" si="31"/>
        <v>722400000</v>
      </c>
      <c r="R54" s="604">
        <f t="shared" si="31"/>
        <v>90300000</v>
      </c>
      <c r="S54" s="427">
        <f t="shared" si="31"/>
        <v>0</v>
      </c>
      <c r="T54" s="427">
        <f t="shared" si="31"/>
        <v>0</v>
      </c>
      <c r="U54" s="601">
        <f t="shared" si="31"/>
        <v>1106924929</v>
      </c>
      <c r="V54" s="737">
        <f t="shared" si="4"/>
        <v>1.2258304861572535</v>
      </c>
      <c r="W54" s="427"/>
      <c r="X54" s="522"/>
      <c r="Y54" s="522"/>
      <c r="Z54" s="738">
        <f t="shared" si="28"/>
        <v>0</v>
      </c>
      <c r="AA54" s="739">
        <f t="shared" si="29"/>
        <v>-903000000</v>
      </c>
    </row>
    <row r="55" spans="1:27" ht="22.5" customHeight="1" thickTop="1" thickBot="1" x14ac:dyDescent="0.3">
      <c r="A55" s="425">
        <v>1</v>
      </c>
      <c r="B55" s="505" t="s">
        <v>216</v>
      </c>
      <c r="C55" s="505" t="s">
        <v>216</v>
      </c>
      <c r="D55" s="505" t="s">
        <v>231</v>
      </c>
      <c r="E55" s="505" t="s">
        <v>231</v>
      </c>
      <c r="F55" s="505" t="s">
        <v>275</v>
      </c>
      <c r="G55" s="525">
        <v>1</v>
      </c>
      <c r="H55" s="505"/>
      <c r="I55" s="505"/>
      <c r="J55" s="505"/>
      <c r="K55" s="502" t="s">
        <v>277</v>
      </c>
      <c r="L55" s="427">
        <v>903000000</v>
      </c>
      <c r="M55" s="427"/>
      <c r="N55" s="427"/>
      <c r="O55" s="744">
        <f>+L55+M55-N55</f>
        <v>903000000</v>
      </c>
      <c r="P55" s="728">
        <f>+O55*10%</f>
        <v>90300000</v>
      </c>
      <c r="Q55" s="728">
        <f>+O55*80%</f>
        <v>722400000</v>
      </c>
      <c r="R55" s="728">
        <f>+O55*10%</f>
        <v>90300000</v>
      </c>
      <c r="S55" s="427" t="s">
        <v>849</v>
      </c>
      <c r="T55" s="427" t="s">
        <v>849</v>
      </c>
      <c r="U55" s="608">
        <v>1106924929</v>
      </c>
      <c r="V55" s="737">
        <f t="shared" si="4"/>
        <v>1.2258304861572535</v>
      </c>
      <c r="W55" s="427"/>
      <c r="X55" s="522"/>
      <c r="Y55" s="522"/>
      <c r="Z55" s="738">
        <f t="shared" si="28"/>
        <v>903000000</v>
      </c>
      <c r="AA55" s="739">
        <f t="shared" si="29"/>
        <v>0</v>
      </c>
    </row>
    <row r="56" spans="1:27" ht="22.5" customHeight="1" thickTop="1" thickBot="1" x14ac:dyDescent="0.3">
      <c r="A56" s="425">
        <v>1</v>
      </c>
      <c r="B56" s="505" t="s">
        <v>216</v>
      </c>
      <c r="C56" s="505" t="s">
        <v>216</v>
      </c>
      <c r="D56" s="505" t="s">
        <v>231</v>
      </c>
      <c r="E56" s="505" t="s">
        <v>231</v>
      </c>
      <c r="F56" s="505" t="s">
        <v>275</v>
      </c>
      <c r="G56" s="525">
        <v>2</v>
      </c>
      <c r="H56" s="505"/>
      <c r="I56" s="505"/>
      <c r="J56" s="505"/>
      <c r="K56" s="502" t="s">
        <v>278</v>
      </c>
      <c r="L56" s="427"/>
      <c r="M56" s="427"/>
      <c r="N56" s="427"/>
      <c r="O56" s="426">
        <f>+L56+M56-N56</f>
        <v>0</v>
      </c>
      <c r="P56" s="605"/>
      <c r="Q56" s="606"/>
      <c r="R56" s="607"/>
      <c r="S56" s="427"/>
      <c r="T56" s="427"/>
      <c r="U56" s="608"/>
      <c r="V56" s="737">
        <v>0</v>
      </c>
      <c r="W56" s="427"/>
      <c r="X56" s="522"/>
      <c r="Y56" s="522"/>
      <c r="Z56" s="738">
        <f t="shared" si="28"/>
        <v>0</v>
      </c>
      <c r="AA56" s="739">
        <f t="shared" si="29"/>
        <v>0</v>
      </c>
    </row>
    <row r="57" spans="1:27" ht="22.5" customHeight="1" thickTop="1" thickBot="1" x14ac:dyDescent="0.3">
      <c r="A57" s="425">
        <v>1</v>
      </c>
      <c r="B57" s="505" t="s">
        <v>216</v>
      </c>
      <c r="C57" s="505" t="s">
        <v>216</v>
      </c>
      <c r="D57" s="505" t="s">
        <v>231</v>
      </c>
      <c r="E57" s="505" t="s">
        <v>231</v>
      </c>
      <c r="F57" s="505" t="s">
        <v>275</v>
      </c>
      <c r="G57" s="525">
        <v>3</v>
      </c>
      <c r="H57" s="505"/>
      <c r="I57" s="505"/>
      <c r="J57" s="505"/>
      <c r="K57" s="502" t="s">
        <v>279</v>
      </c>
      <c r="L57" s="427"/>
      <c r="M57" s="427"/>
      <c r="N57" s="427"/>
      <c r="O57" s="426">
        <f>+L57+M57-N57</f>
        <v>0</v>
      </c>
      <c r="P57" s="605"/>
      <c r="Q57" s="606"/>
      <c r="R57" s="607"/>
      <c r="S57" s="427"/>
      <c r="T57" s="427"/>
      <c r="U57" s="608"/>
      <c r="V57" s="737">
        <v>0</v>
      </c>
      <c r="W57" s="427"/>
      <c r="X57" s="522"/>
      <c r="Y57" s="522"/>
      <c r="Z57" s="738">
        <f t="shared" si="28"/>
        <v>0</v>
      </c>
      <c r="AA57" s="739">
        <f t="shared" si="29"/>
        <v>0</v>
      </c>
    </row>
    <row r="58" spans="1:27" ht="22.5" customHeight="1" thickTop="1" thickBot="1" x14ac:dyDescent="0.3">
      <c r="A58" s="425">
        <v>1</v>
      </c>
      <c r="B58" s="505" t="s">
        <v>216</v>
      </c>
      <c r="C58" s="505" t="s">
        <v>216</v>
      </c>
      <c r="D58" s="505" t="s">
        <v>231</v>
      </c>
      <c r="E58" s="505" t="s">
        <v>231</v>
      </c>
      <c r="F58" s="505" t="s">
        <v>280</v>
      </c>
      <c r="G58" s="525"/>
      <c r="H58" s="505"/>
      <c r="I58" s="505"/>
      <c r="J58" s="505"/>
      <c r="K58" s="501" t="s">
        <v>281</v>
      </c>
      <c r="L58" s="727">
        <f>SUBTOTAL(9,L59:L61)</f>
        <v>1000000</v>
      </c>
      <c r="M58" s="427">
        <f t="shared" ref="M58:U58" si="32">SUBTOTAL(9,M59:M61)</f>
        <v>0</v>
      </c>
      <c r="N58" s="427">
        <f t="shared" si="32"/>
        <v>0</v>
      </c>
      <c r="O58" s="727">
        <f t="shared" si="32"/>
        <v>1000000</v>
      </c>
      <c r="P58" s="602">
        <f t="shared" si="32"/>
        <v>100000</v>
      </c>
      <c r="Q58" s="603">
        <f t="shared" si="32"/>
        <v>800000</v>
      </c>
      <c r="R58" s="604">
        <f t="shared" si="32"/>
        <v>100000</v>
      </c>
      <c r="S58" s="427">
        <f t="shared" si="32"/>
        <v>0</v>
      </c>
      <c r="T58" s="427">
        <f t="shared" si="32"/>
        <v>0</v>
      </c>
      <c r="U58" s="601">
        <f t="shared" si="32"/>
        <v>0</v>
      </c>
      <c r="V58" s="737">
        <f t="shared" si="4"/>
        <v>0</v>
      </c>
      <c r="W58" s="427"/>
      <c r="X58" s="522"/>
      <c r="Y58" s="522"/>
      <c r="Z58" s="738">
        <f t="shared" si="28"/>
        <v>0</v>
      </c>
      <c r="AA58" s="739">
        <f t="shared" si="29"/>
        <v>-1000000</v>
      </c>
    </row>
    <row r="59" spans="1:27" ht="22.5" customHeight="1" thickTop="1" thickBot="1" x14ac:dyDescent="0.3">
      <c r="A59" s="425">
        <v>1</v>
      </c>
      <c r="B59" s="505" t="s">
        <v>216</v>
      </c>
      <c r="C59" s="505" t="s">
        <v>216</v>
      </c>
      <c r="D59" s="505" t="s">
        <v>231</v>
      </c>
      <c r="E59" s="505" t="s">
        <v>231</v>
      </c>
      <c r="F59" s="505" t="s">
        <v>280</v>
      </c>
      <c r="G59" s="525">
        <v>1</v>
      </c>
      <c r="H59" s="505"/>
      <c r="I59" s="505"/>
      <c r="J59" s="505"/>
      <c r="K59" s="502" t="s">
        <v>282</v>
      </c>
      <c r="L59" s="728">
        <v>1000000</v>
      </c>
      <c r="M59" s="728"/>
      <c r="N59" s="728"/>
      <c r="O59" s="744">
        <f>+L59+M59-N59</f>
        <v>1000000</v>
      </c>
      <c r="P59" s="728">
        <f>+O59*10%</f>
        <v>100000</v>
      </c>
      <c r="Q59" s="728">
        <f>+O59*80%</f>
        <v>800000</v>
      </c>
      <c r="R59" s="728">
        <f>+O59*10%</f>
        <v>100000</v>
      </c>
      <c r="S59" s="427"/>
      <c r="T59" s="427"/>
      <c r="U59" s="608">
        <v>0</v>
      </c>
      <c r="V59" s="737">
        <f t="shared" si="4"/>
        <v>0</v>
      </c>
      <c r="W59" s="427"/>
      <c r="X59" s="522"/>
      <c r="Y59" s="522"/>
      <c r="Z59" s="738">
        <f t="shared" si="28"/>
        <v>1000000</v>
      </c>
      <c r="AA59" s="739">
        <f t="shared" si="29"/>
        <v>0</v>
      </c>
    </row>
    <row r="60" spans="1:27" ht="22.5" customHeight="1" thickTop="1" thickBot="1" x14ac:dyDescent="0.3">
      <c r="A60" s="425">
        <v>1</v>
      </c>
      <c r="B60" s="505" t="s">
        <v>216</v>
      </c>
      <c r="C60" s="505" t="s">
        <v>216</v>
      </c>
      <c r="D60" s="505" t="s">
        <v>231</v>
      </c>
      <c r="E60" s="505" t="s">
        <v>231</v>
      </c>
      <c r="F60" s="505" t="s">
        <v>280</v>
      </c>
      <c r="G60" s="525">
        <v>2</v>
      </c>
      <c r="H60" s="505"/>
      <c r="I60" s="505"/>
      <c r="J60" s="505"/>
      <c r="K60" s="502" t="s">
        <v>283</v>
      </c>
      <c r="L60" s="427"/>
      <c r="M60" s="427"/>
      <c r="N60" s="427"/>
      <c r="O60" s="426">
        <f>+L60+M60-N60</f>
        <v>0</v>
      </c>
      <c r="P60" s="605"/>
      <c r="Q60" s="606"/>
      <c r="R60" s="607"/>
      <c r="S60" s="427"/>
      <c r="T60" s="427"/>
      <c r="U60" s="608"/>
      <c r="V60" s="737">
        <v>0</v>
      </c>
      <c r="W60" s="427"/>
      <c r="X60" s="522"/>
      <c r="Y60" s="522"/>
      <c r="Z60" s="738">
        <f t="shared" si="28"/>
        <v>0</v>
      </c>
      <c r="AA60" s="739">
        <f t="shared" si="29"/>
        <v>0</v>
      </c>
    </row>
    <row r="61" spans="1:27" ht="22.5" customHeight="1" thickTop="1" thickBot="1" x14ac:dyDescent="0.3">
      <c r="A61" s="425">
        <v>1</v>
      </c>
      <c r="B61" s="505" t="s">
        <v>216</v>
      </c>
      <c r="C61" s="505" t="s">
        <v>216</v>
      </c>
      <c r="D61" s="505" t="s">
        <v>231</v>
      </c>
      <c r="E61" s="505" t="s">
        <v>231</v>
      </c>
      <c r="F61" s="505" t="s">
        <v>280</v>
      </c>
      <c r="G61" s="525">
        <v>3</v>
      </c>
      <c r="H61" s="505"/>
      <c r="I61" s="505"/>
      <c r="J61" s="505"/>
      <c r="K61" s="502" t="s">
        <v>284</v>
      </c>
      <c r="L61" s="427"/>
      <c r="M61" s="427"/>
      <c r="N61" s="427"/>
      <c r="O61" s="426">
        <f>+L61+M61-N61</f>
        <v>0</v>
      </c>
      <c r="P61" s="605"/>
      <c r="Q61" s="606"/>
      <c r="R61" s="607"/>
      <c r="S61" s="427"/>
      <c r="T61" s="427"/>
      <c r="U61" s="608"/>
      <c r="V61" s="737">
        <v>0</v>
      </c>
      <c r="W61" s="427"/>
      <c r="X61" s="522"/>
      <c r="Y61" s="522"/>
      <c r="Z61" s="738">
        <f t="shared" si="28"/>
        <v>0</v>
      </c>
      <c r="AA61" s="739">
        <f t="shared" si="29"/>
        <v>0</v>
      </c>
    </row>
    <row r="62" spans="1:27" ht="22.5" customHeight="1" thickTop="1" thickBot="1" x14ac:dyDescent="0.3">
      <c r="A62" s="425">
        <v>1</v>
      </c>
      <c r="B62" s="505" t="s">
        <v>216</v>
      </c>
      <c r="C62" s="505" t="s">
        <v>216</v>
      </c>
      <c r="D62" s="505" t="s">
        <v>231</v>
      </c>
      <c r="E62" s="505" t="s">
        <v>231</v>
      </c>
      <c r="F62" s="505" t="s">
        <v>285</v>
      </c>
      <c r="G62" s="525"/>
      <c r="H62" s="505"/>
      <c r="I62" s="505"/>
      <c r="J62" s="505"/>
      <c r="K62" s="501" t="s">
        <v>286</v>
      </c>
      <c r="L62" s="727">
        <f>SUBTOTAL(9,L63:L65)</f>
        <v>1000000</v>
      </c>
      <c r="M62" s="427">
        <f t="shared" ref="M62:U62" si="33">SUBTOTAL(9,M63:M65)</f>
        <v>0</v>
      </c>
      <c r="N62" s="427">
        <f t="shared" si="33"/>
        <v>0</v>
      </c>
      <c r="O62" s="727">
        <f t="shared" si="33"/>
        <v>1000000</v>
      </c>
      <c r="P62" s="602">
        <f t="shared" si="33"/>
        <v>100000</v>
      </c>
      <c r="Q62" s="603">
        <f t="shared" si="33"/>
        <v>800000</v>
      </c>
      <c r="R62" s="604">
        <f t="shared" si="33"/>
        <v>100000</v>
      </c>
      <c r="S62" s="427">
        <f t="shared" si="33"/>
        <v>0</v>
      </c>
      <c r="T62" s="427">
        <f t="shared" si="33"/>
        <v>0</v>
      </c>
      <c r="U62" s="608">
        <f t="shared" si="33"/>
        <v>0</v>
      </c>
      <c r="V62" s="737">
        <f t="shared" si="4"/>
        <v>0</v>
      </c>
      <c r="W62" s="427"/>
      <c r="X62" s="522"/>
      <c r="Y62" s="522"/>
      <c r="Z62" s="738">
        <f t="shared" si="28"/>
        <v>0</v>
      </c>
      <c r="AA62" s="739">
        <f t="shared" si="29"/>
        <v>-1000000</v>
      </c>
    </row>
    <row r="63" spans="1:27" ht="22.5" customHeight="1" thickTop="1" thickBot="1" x14ac:dyDescent="0.3">
      <c r="A63" s="425">
        <v>1</v>
      </c>
      <c r="B63" s="505" t="s">
        <v>216</v>
      </c>
      <c r="C63" s="505" t="s">
        <v>216</v>
      </c>
      <c r="D63" s="505" t="s">
        <v>231</v>
      </c>
      <c r="E63" s="505" t="s">
        <v>231</v>
      </c>
      <c r="F63" s="505" t="s">
        <v>285</v>
      </c>
      <c r="G63" s="525">
        <v>1</v>
      </c>
      <c r="H63" s="505"/>
      <c r="I63" s="505"/>
      <c r="J63" s="505"/>
      <c r="K63" s="502" t="s">
        <v>287</v>
      </c>
      <c r="L63" s="427">
        <v>1000000</v>
      </c>
      <c r="M63" s="427"/>
      <c r="N63" s="427"/>
      <c r="O63" s="744">
        <f>+L63+M63-N63</f>
        <v>1000000</v>
      </c>
      <c r="P63" s="728">
        <f>+O63*10%</f>
        <v>100000</v>
      </c>
      <c r="Q63" s="728">
        <f>+O63*80%</f>
        <v>800000</v>
      </c>
      <c r="R63" s="728">
        <f>+O63*10%</f>
        <v>100000</v>
      </c>
      <c r="S63" s="427"/>
      <c r="T63" s="427"/>
      <c r="U63" s="608"/>
      <c r="V63" s="737">
        <f t="shared" si="4"/>
        <v>0</v>
      </c>
      <c r="W63" s="427"/>
      <c r="X63" s="522"/>
      <c r="Y63" s="522"/>
      <c r="Z63" s="738">
        <f t="shared" si="28"/>
        <v>1000000</v>
      </c>
      <c r="AA63" s="739">
        <f t="shared" si="29"/>
        <v>0</v>
      </c>
    </row>
    <row r="64" spans="1:27" ht="22.5" customHeight="1" thickTop="1" thickBot="1" x14ac:dyDescent="0.3">
      <c r="A64" s="425">
        <v>1</v>
      </c>
      <c r="B64" s="505" t="s">
        <v>216</v>
      </c>
      <c r="C64" s="505" t="s">
        <v>216</v>
      </c>
      <c r="D64" s="505" t="s">
        <v>231</v>
      </c>
      <c r="E64" s="505" t="s">
        <v>231</v>
      </c>
      <c r="F64" s="505" t="s">
        <v>285</v>
      </c>
      <c r="G64" s="525">
        <v>2</v>
      </c>
      <c r="H64" s="505"/>
      <c r="I64" s="505"/>
      <c r="J64" s="505"/>
      <c r="K64" s="502" t="s">
        <v>288</v>
      </c>
      <c r="L64" s="427"/>
      <c r="M64" s="427"/>
      <c r="N64" s="427"/>
      <c r="O64" s="426">
        <f>+L64+M64-N64</f>
        <v>0</v>
      </c>
      <c r="P64" s="605"/>
      <c r="Q64" s="606"/>
      <c r="R64" s="607"/>
      <c r="S64" s="427"/>
      <c r="T64" s="427"/>
      <c r="U64" s="608"/>
      <c r="V64" s="737">
        <v>0</v>
      </c>
      <c r="W64" s="427"/>
      <c r="X64" s="522"/>
      <c r="Y64" s="522"/>
      <c r="Z64" s="738">
        <f t="shared" si="28"/>
        <v>0</v>
      </c>
      <c r="AA64" s="739">
        <f t="shared" si="29"/>
        <v>0</v>
      </c>
    </row>
    <row r="65" spans="1:27" ht="22.5" customHeight="1" thickTop="1" thickBot="1" x14ac:dyDescent="0.3">
      <c r="A65" s="425">
        <v>1</v>
      </c>
      <c r="B65" s="505" t="s">
        <v>216</v>
      </c>
      <c r="C65" s="505" t="s">
        <v>216</v>
      </c>
      <c r="D65" s="505" t="s">
        <v>231</v>
      </c>
      <c r="E65" s="505" t="s">
        <v>231</v>
      </c>
      <c r="F65" s="505" t="s">
        <v>285</v>
      </c>
      <c r="G65" s="525">
        <v>3</v>
      </c>
      <c r="H65" s="505"/>
      <c r="I65" s="505"/>
      <c r="J65" s="505"/>
      <c r="K65" s="502" t="s">
        <v>289</v>
      </c>
      <c r="L65" s="427"/>
      <c r="M65" s="427"/>
      <c r="N65" s="427"/>
      <c r="O65" s="426">
        <f>+L65+M65-N65</f>
        <v>0</v>
      </c>
      <c r="P65" s="605"/>
      <c r="Q65" s="606"/>
      <c r="R65" s="607"/>
      <c r="S65" s="427"/>
      <c r="T65" s="427"/>
      <c r="U65" s="608"/>
      <c r="V65" s="737">
        <v>0</v>
      </c>
      <c r="W65" s="427"/>
      <c r="X65" s="522"/>
      <c r="Y65" s="522"/>
      <c r="Z65" s="738">
        <f t="shared" si="28"/>
        <v>0</v>
      </c>
      <c r="AA65" s="739">
        <f t="shared" si="29"/>
        <v>0</v>
      </c>
    </row>
    <row r="66" spans="1:27" ht="22.5" customHeight="1" thickTop="1" thickBot="1" x14ac:dyDescent="0.3">
      <c r="A66" s="425">
        <v>1</v>
      </c>
      <c r="B66" s="505" t="s">
        <v>216</v>
      </c>
      <c r="C66" s="505" t="s">
        <v>216</v>
      </c>
      <c r="D66" s="505" t="s">
        <v>231</v>
      </c>
      <c r="E66" s="505" t="s">
        <v>231</v>
      </c>
      <c r="F66" s="505" t="s">
        <v>290</v>
      </c>
      <c r="G66" s="525"/>
      <c r="H66" s="505"/>
      <c r="I66" s="505"/>
      <c r="J66" s="505"/>
      <c r="K66" s="501" t="s">
        <v>291</v>
      </c>
      <c r="L66" s="426">
        <f>SUBTOTAL(9,L67:L69)</f>
        <v>2340000000</v>
      </c>
      <c r="M66" s="427">
        <f t="shared" ref="M66:U66" si="34">SUBTOTAL(9,M67:M69)</f>
        <v>0</v>
      </c>
      <c r="N66" s="427">
        <f t="shared" si="34"/>
        <v>0</v>
      </c>
      <c r="O66" s="727">
        <f t="shared" si="34"/>
        <v>2340000000</v>
      </c>
      <c r="P66" s="602">
        <v>2340000000</v>
      </c>
      <c r="Q66" s="603">
        <f t="shared" si="34"/>
        <v>0</v>
      </c>
      <c r="R66" s="607">
        <f t="shared" si="34"/>
        <v>0</v>
      </c>
      <c r="S66" s="427">
        <f t="shared" si="34"/>
        <v>0</v>
      </c>
      <c r="T66" s="427">
        <f t="shared" si="34"/>
        <v>0</v>
      </c>
      <c r="U66" s="601">
        <f t="shared" si="34"/>
        <v>1817489500</v>
      </c>
      <c r="V66" s="737">
        <f t="shared" si="4"/>
        <v>0.77670491452991453</v>
      </c>
      <c r="W66" s="427"/>
      <c r="X66" s="522"/>
      <c r="Y66" s="522"/>
      <c r="Z66" s="738">
        <f t="shared" si="28"/>
        <v>2340000000</v>
      </c>
      <c r="AA66" s="739">
        <f t="shared" si="29"/>
        <v>0</v>
      </c>
    </row>
    <row r="67" spans="1:27" ht="22.5" customHeight="1" thickTop="1" thickBot="1" x14ac:dyDescent="0.3">
      <c r="A67" s="425">
        <v>1</v>
      </c>
      <c r="B67" s="505" t="s">
        <v>216</v>
      </c>
      <c r="C67" s="505" t="s">
        <v>216</v>
      </c>
      <c r="D67" s="505" t="s">
        <v>231</v>
      </c>
      <c r="E67" s="505" t="s">
        <v>231</v>
      </c>
      <c r="F67" s="505" t="s">
        <v>290</v>
      </c>
      <c r="G67" s="525">
        <v>1</v>
      </c>
      <c r="H67" s="505"/>
      <c r="I67" s="505"/>
      <c r="J67" s="505"/>
      <c r="K67" s="502" t="s">
        <v>292</v>
      </c>
      <c r="L67" s="427">
        <v>2340000000</v>
      </c>
      <c r="M67" s="427"/>
      <c r="N67" s="427"/>
      <c r="O67" s="744">
        <f>+L67+M67-N67</f>
        <v>2340000000</v>
      </c>
      <c r="P67" s="728">
        <f>+O67*100%</f>
        <v>2340000000</v>
      </c>
      <c r="Q67" s="606">
        <v>0</v>
      </c>
      <c r="R67" s="607"/>
      <c r="S67" s="427"/>
      <c r="T67" s="427"/>
      <c r="U67" s="608">
        <v>1817489500</v>
      </c>
      <c r="V67" s="737">
        <f t="shared" si="4"/>
        <v>0.77670491452991453</v>
      </c>
      <c r="W67" s="427"/>
      <c r="X67" s="522"/>
      <c r="Y67" s="522"/>
      <c r="Z67" s="738">
        <f t="shared" si="28"/>
        <v>2340000000</v>
      </c>
      <c r="AA67" s="739">
        <f t="shared" si="29"/>
        <v>0</v>
      </c>
    </row>
    <row r="68" spans="1:27" ht="22.5" customHeight="1" thickTop="1" thickBot="1" x14ac:dyDescent="0.3">
      <c r="A68" s="425">
        <v>1</v>
      </c>
      <c r="B68" s="505" t="s">
        <v>216</v>
      </c>
      <c r="C68" s="505" t="s">
        <v>216</v>
      </c>
      <c r="D68" s="505" t="s">
        <v>231</v>
      </c>
      <c r="E68" s="505" t="s">
        <v>231</v>
      </c>
      <c r="F68" s="505" t="s">
        <v>290</v>
      </c>
      <c r="G68" s="525">
        <v>2</v>
      </c>
      <c r="H68" s="505"/>
      <c r="I68" s="505"/>
      <c r="J68" s="505"/>
      <c r="K68" s="502" t="s">
        <v>293</v>
      </c>
      <c r="L68" s="427"/>
      <c r="M68" s="427"/>
      <c r="N68" s="427"/>
      <c r="O68" s="426">
        <f>+L68+M68-N68</f>
        <v>0</v>
      </c>
      <c r="P68" s="605"/>
      <c r="Q68" s="606"/>
      <c r="R68" s="607"/>
      <c r="S68" s="427"/>
      <c r="T68" s="427"/>
      <c r="U68" s="608"/>
      <c r="V68" s="737">
        <v>0</v>
      </c>
      <c r="W68" s="427"/>
      <c r="X68" s="522"/>
      <c r="Y68" s="522"/>
      <c r="Z68" s="738">
        <f t="shared" si="28"/>
        <v>0</v>
      </c>
      <c r="AA68" s="739">
        <f t="shared" si="29"/>
        <v>0</v>
      </c>
    </row>
    <row r="69" spans="1:27" ht="22.5" customHeight="1" thickTop="1" thickBot="1" x14ac:dyDescent="0.3">
      <c r="A69" s="425">
        <v>1</v>
      </c>
      <c r="B69" s="505" t="s">
        <v>216</v>
      </c>
      <c r="C69" s="505" t="s">
        <v>216</v>
      </c>
      <c r="D69" s="505" t="s">
        <v>231</v>
      </c>
      <c r="E69" s="505" t="s">
        <v>231</v>
      </c>
      <c r="F69" s="505" t="s">
        <v>290</v>
      </c>
      <c r="G69" s="525">
        <v>3</v>
      </c>
      <c r="H69" s="505"/>
      <c r="I69" s="505"/>
      <c r="J69" s="505"/>
      <c r="K69" s="502" t="s">
        <v>294</v>
      </c>
      <c r="L69" s="427"/>
      <c r="M69" s="427"/>
      <c r="N69" s="427"/>
      <c r="O69" s="426">
        <f>+L69+M69-N69</f>
        <v>0</v>
      </c>
      <c r="P69" s="605"/>
      <c r="Q69" s="606"/>
      <c r="R69" s="607"/>
      <c r="S69" s="427"/>
      <c r="T69" s="427"/>
      <c r="U69" s="608"/>
      <c r="V69" s="737">
        <v>0</v>
      </c>
      <c r="W69" s="427"/>
      <c r="X69" s="522"/>
      <c r="Y69" s="522"/>
      <c r="Z69" s="738">
        <f t="shared" si="28"/>
        <v>0</v>
      </c>
      <c r="AA69" s="739">
        <f t="shared" si="29"/>
        <v>0</v>
      </c>
    </row>
    <row r="70" spans="1:27" ht="22.5" customHeight="1" thickTop="1" thickBot="1" x14ac:dyDescent="0.3">
      <c r="A70" s="425">
        <v>1</v>
      </c>
      <c r="B70" s="505" t="s">
        <v>216</v>
      </c>
      <c r="C70" s="505" t="s">
        <v>216</v>
      </c>
      <c r="D70" s="505" t="s">
        <v>231</v>
      </c>
      <c r="E70" s="505" t="s">
        <v>231</v>
      </c>
      <c r="F70" s="505" t="s">
        <v>295</v>
      </c>
      <c r="G70" s="525"/>
      <c r="H70" s="505"/>
      <c r="I70" s="505"/>
      <c r="J70" s="505"/>
      <c r="K70" s="502" t="s">
        <v>296</v>
      </c>
      <c r="L70" s="427">
        <f>SUBTOTAL(9,L71:L73)</f>
        <v>0</v>
      </c>
      <c r="M70" s="427">
        <f t="shared" ref="M70:U70" si="35">SUBTOTAL(9,M71:M73)</f>
        <v>0</v>
      </c>
      <c r="N70" s="427">
        <f t="shared" si="35"/>
        <v>0</v>
      </c>
      <c r="O70" s="427">
        <f t="shared" si="35"/>
        <v>0</v>
      </c>
      <c r="P70" s="605">
        <f t="shared" si="35"/>
        <v>0</v>
      </c>
      <c r="Q70" s="606">
        <f t="shared" si="35"/>
        <v>0</v>
      </c>
      <c r="R70" s="607">
        <f t="shared" si="35"/>
        <v>0</v>
      </c>
      <c r="S70" s="427">
        <f t="shared" si="35"/>
        <v>0</v>
      </c>
      <c r="T70" s="427">
        <f t="shared" si="35"/>
        <v>0</v>
      </c>
      <c r="U70" s="608">
        <f t="shared" si="35"/>
        <v>0</v>
      </c>
      <c r="V70" s="427" t="e">
        <f t="shared" si="14"/>
        <v>#DIV/0!</v>
      </c>
      <c r="W70" s="427"/>
      <c r="X70" s="522"/>
      <c r="Y70" s="522"/>
    </row>
    <row r="71" spans="1:27" ht="22.5" customHeight="1" thickTop="1" thickBot="1" x14ac:dyDescent="0.3">
      <c r="A71" s="425">
        <v>1</v>
      </c>
      <c r="B71" s="505" t="s">
        <v>216</v>
      </c>
      <c r="C71" s="505" t="s">
        <v>216</v>
      </c>
      <c r="D71" s="505" t="s">
        <v>231</v>
      </c>
      <c r="E71" s="505" t="s">
        <v>231</v>
      </c>
      <c r="F71" s="505" t="s">
        <v>295</v>
      </c>
      <c r="G71" s="525">
        <v>1</v>
      </c>
      <c r="H71" s="505"/>
      <c r="I71" s="505"/>
      <c r="J71" s="505"/>
      <c r="K71" s="502" t="s">
        <v>297</v>
      </c>
      <c r="L71" s="427"/>
      <c r="M71" s="427"/>
      <c r="N71" s="427"/>
      <c r="O71" s="426">
        <f>+L71+M71-N71</f>
        <v>0</v>
      </c>
      <c r="P71" s="605"/>
      <c r="Q71" s="606"/>
      <c r="R71" s="607"/>
      <c r="S71" s="427"/>
      <c r="T71" s="427"/>
      <c r="U71" s="608"/>
      <c r="V71" s="737">
        <v>0</v>
      </c>
      <c r="W71" s="427"/>
      <c r="X71" s="522"/>
      <c r="Y71" s="522"/>
      <c r="Z71" s="738">
        <f t="shared" ref="Z71:Z79" si="36">SUBTOTAL(9,P71:S71)</f>
        <v>0</v>
      </c>
      <c r="AA71" s="739">
        <f t="shared" ref="AA71:AA79" si="37">+Z71-O71</f>
        <v>0</v>
      </c>
    </row>
    <row r="72" spans="1:27" ht="22.5" customHeight="1" thickTop="1" thickBot="1" x14ac:dyDescent="0.3">
      <c r="A72" s="425">
        <v>1</v>
      </c>
      <c r="B72" s="505" t="s">
        <v>216</v>
      </c>
      <c r="C72" s="505" t="s">
        <v>216</v>
      </c>
      <c r="D72" s="505" t="s">
        <v>231</v>
      </c>
      <c r="E72" s="505" t="s">
        <v>231</v>
      </c>
      <c r="F72" s="505" t="s">
        <v>295</v>
      </c>
      <c r="G72" s="525">
        <v>2</v>
      </c>
      <c r="H72" s="505"/>
      <c r="I72" s="505"/>
      <c r="J72" s="505"/>
      <c r="K72" s="502" t="s">
        <v>298</v>
      </c>
      <c r="L72" s="427"/>
      <c r="M72" s="427"/>
      <c r="N72" s="427"/>
      <c r="O72" s="426">
        <f>+L72+M72-N72</f>
        <v>0</v>
      </c>
      <c r="P72" s="605"/>
      <c r="Q72" s="606"/>
      <c r="R72" s="607"/>
      <c r="S72" s="427"/>
      <c r="T72" s="427"/>
      <c r="U72" s="608"/>
      <c r="V72" s="737">
        <v>0</v>
      </c>
      <c r="W72" s="427"/>
      <c r="X72" s="522"/>
      <c r="Y72" s="522"/>
      <c r="Z72" s="738">
        <f t="shared" si="36"/>
        <v>0</v>
      </c>
      <c r="AA72" s="739">
        <f t="shared" si="37"/>
        <v>0</v>
      </c>
    </row>
    <row r="73" spans="1:27" ht="22.5" customHeight="1" thickTop="1" thickBot="1" x14ac:dyDescent="0.3">
      <c r="A73" s="425">
        <v>1</v>
      </c>
      <c r="B73" s="505" t="s">
        <v>216</v>
      </c>
      <c r="C73" s="505" t="s">
        <v>216</v>
      </c>
      <c r="D73" s="505" t="s">
        <v>231</v>
      </c>
      <c r="E73" s="505" t="s">
        <v>231</v>
      </c>
      <c r="F73" s="505" t="s">
        <v>295</v>
      </c>
      <c r="G73" s="525">
        <v>3</v>
      </c>
      <c r="H73" s="505"/>
      <c r="I73" s="505"/>
      <c r="J73" s="505"/>
      <c r="K73" s="502" t="s">
        <v>299</v>
      </c>
      <c r="L73" s="427"/>
      <c r="M73" s="427"/>
      <c r="N73" s="427"/>
      <c r="O73" s="426">
        <f>+L73+M73-N73</f>
        <v>0</v>
      </c>
      <c r="P73" s="605"/>
      <c r="Q73" s="606"/>
      <c r="R73" s="607"/>
      <c r="S73" s="427"/>
      <c r="T73" s="427"/>
      <c r="U73" s="608"/>
      <c r="V73" s="737">
        <v>0</v>
      </c>
      <c r="W73" s="427"/>
      <c r="X73" s="522"/>
      <c r="Y73" s="522"/>
      <c r="Z73" s="738">
        <f t="shared" si="36"/>
        <v>0</v>
      </c>
      <c r="AA73" s="739">
        <f t="shared" si="37"/>
        <v>0</v>
      </c>
    </row>
    <row r="74" spans="1:27" ht="22.5" customHeight="1" thickTop="1" thickBot="1" x14ac:dyDescent="0.3">
      <c r="A74" s="425">
        <v>1</v>
      </c>
      <c r="B74" s="505" t="s">
        <v>216</v>
      </c>
      <c r="C74" s="505" t="s">
        <v>216</v>
      </c>
      <c r="D74" s="505" t="s">
        <v>231</v>
      </c>
      <c r="E74" s="505" t="s">
        <v>231</v>
      </c>
      <c r="F74" s="505" t="s">
        <v>300</v>
      </c>
      <c r="G74" s="525"/>
      <c r="H74" s="505"/>
      <c r="I74" s="505"/>
      <c r="J74" s="505"/>
      <c r="K74" s="501" t="s">
        <v>301</v>
      </c>
      <c r="L74" s="727">
        <f>SUM(L75:L77)</f>
        <v>3225000</v>
      </c>
      <c r="M74" s="427">
        <f t="shared" ref="M74:U74" si="38">SUM(M75:M77)</f>
        <v>0</v>
      </c>
      <c r="N74" s="427">
        <f t="shared" si="38"/>
        <v>0</v>
      </c>
      <c r="O74" s="727">
        <f t="shared" si="38"/>
        <v>3225000</v>
      </c>
      <c r="P74" s="602">
        <f t="shared" si="38"/>
        <v>322500</v>
      </c>
      <c r="Q74" s="603">
        <f t="shared" si="38"/>
        <v>2580000</v>
      </c>
      <c r="R74" s="604">
        <f t="shared" si="38"/>
        <v>322500</v>
      </c>
      <c r="S74" s="426">
        <f t="shared" si="38"/>
        <v>0</v>
      </c>
      <c r="T74" s="426">
        <f t="shared" si="38"/>
        <v>0</v>
      </c>
      <c r="U74" s="601">
        <f t="shared" si="38"/>
        <v>882260</v>
      </c>
      <c r="V74" s="737">
        <f t="shared" ref="V74:V78" si="39">+U74/O74</f>
        <v>0.27356899224806203</v>
      </c>
      <c r="W74" s="427"/>
      <c r="X74" s="522"/>
      <c r="Y74" s="522"/>
      <c r="Z74" s="738">
        <f t="shared" si="36"/>
        <v>3225000</v>
      </c>
      <c r="AA74" s="739">
        <f t="shared" si="37"/>
        <v>0</v>
      </c>
    </row>
    <row r="75" spans="1:27" ht="22.5" customHeight="1" thickTop="1" thickBot="1" x14ac:dyDescent="0.3">
      <c r="A75" s="425">
        <v>1</v>
      </c>
      <c r="B75" s="505" t="s">
        <v>216</v>
      </c>
      <c r="C75" s="505" t="s">
        <v>216</v>
      </c>
      <c r="D75" s="505" t="s">
        <v>231</v>
      </c>
      <c r="E75" s="505" t="s">
        <v>231</v>
      </c>
      <c r="F75" s="505" t="s">
        <v>300</v>
      </c>
      <c r="G75" s="525">
        <v>1</v>
      </c>
      <c r="H75" s="505"/>
      <c r="I75" s="505"/>
      <c r="J75" s="505"/>
      <c r="K75" s="502" t="s">
        <v>302</v>
      </c>
      <c r="L75" s="427">
        <v>3225000</v>
      </c>
      <c r="M75" s="427"/>
      <c r="N75" s="427"/>
      <c r="O75" s="744">
        <f>+L75+M75-N75</f>
        <v>3225000</v>
      </c>
      <c r="P75" s="728">
        <f>+O75*10%</f>
        <v>322500</v>
      </c>
      <c r="Q75" s="728">
        <f>+O75*80%</f>
        <v>2580000</v>
      </c>
      <c r="R75" s="728">
        <f>+O75*10%</f>
        <v>322500</v>
      </c>
      <c r="S75" s="427" t="s">
        <v>849</v>
      </c>
      <c r="T75" s="427"/>
      <c r="U75" s="608">
        <v>882260</v>
      </c>
      <c r="V75" s="737">
        <f t="shared" si="39"/>
        <v>0.27356899224806203</v>
      </c>
      <c r="W75" s="427"/>
      <c r="X75" s="522"/>
      <c r="Y75" s="522"/>
      <c r="Z75" s="738">
        <f t="shared" si="36"/>
        <v>3225000</v>
      </c>
      <c r="AA75" s="739">
        <f t="shared" si="37"/>
        <v>0</v>
      </c>
    </row>
    <row r="76" spans="1:27" ht="22.5" customHeight="1" thickTop="1" thickBot="1" x14ac:dyDescent="0.3">
      <c r="A76" s="425">
        <v>1</v>
      </c>
      <c r="B76" s="505" t="s">
        <v>216</v>
      </c>
      <c r="C76" s="505" t="s">
        <v>216</v>
      </c>
      <c r="D76" s="505" t="s">
        <v>231</v>
      </c>
      <c r="E76" s="505" t="s">
        <v>231</v>
      </c>
      <c r="F76" s="505" t="s">
        <v>300</v>
      </c>
      <c r="G76" s="525">
        <v>2</v>
      </c>
      <c r="H76" s="505"/>
      <c r="I76" s="505"/>
      <c r="J76" s="505"/>
      <c r="K76" s="502" t="s">
        <v>303</v>
      </c>
      <c r="L76" s="427"/>
      <c r="M76" s="427"/>
      <c r="N76" s="427"/>
      <c r="O76" s="426">
        <f>+L76+M76-N76</f>
        <v>0</v>
      </c>
      <c r="P76" s="605"/>
      <c r="Q76" s="606"/>
      <c r="R76" s="607"/>
      <c r="S76" s="427"/>
      <c r="T76" s="427"/>
      <c r="U76" s="608"/>
      <c r="V76" s="737">
        <v>0</v>
      </c>
      <c r="W76" s="427"/>
      <c r="X76" s="522"/>
      <c r="Y76" s="522"/>
      <c r="Z76" s="738">
        <f t="shared" si="36"/>
        <v>0</v>
      </c>
      <c r="AA76" s="739">
        <f t="shared" si="37"/>
        <v>0</v>
      </c>
    </row>
    <row r="77" spans="1:27" ht="22.5" customHeight="1" thickTop="1" thickBot="1" x14ac:dyDescent="0.3">
      <c r="A77" s="425">
        <v>1</v>
      </c>
      <c r="B77" s="505" t="s">
        <v>216</v>
      </c>
      <c r="C77" s="505" t="s">
        <v>216</v>
      </c>
      <c r="D77" s="505" t="s">
        <v>231</v>
      </c>
      <c r="E77" s="505" t="s">
        <v>231</v>
      </c>
      <c r="F77" s="505" t="s">
        <v>300</v>
      </c>
      <c r="G77" s="525">
        <v>3</v>
      </c>
      <c r="H77" s="505"/>
      <c r="I77" s="505"/>
      <c r="J77" s="505"/>
      <c r="K77" s="502" t="s">
        <v>304</v>
      </c>
      <c r="L77" s="427"/>
      <c r="M77" s="427"/>
      <c r="N77" s="427"/>
      <c r="O77" s="426">
        <f>+L77+M77-N77</f>
        <v>0</v>
      </c>
      <c r="P77" s="605"/>
      <c r="Q77" s="606"/>
      <c r="R77" s="607"/>
      <c r="S77" s="427"/>
      <c r="T77" s="427"/>
      <c r="U77" s="608"/>
      <c r="V77" s="737">
        <v>0</v>
      </c>
      <c r="W77" s="427"/>
      <c r="X77" s="522"/>
      <c r="Y77" s="522"/>
      <c r="Z77" s="738">
        <f t="shared" si="36"/>
        <v>0</v>
      </c>
      <c r="AA77" s="739">
        <f t="shared" si="37"/>
        <v>0</v>
      </c>
    </row>
    <row r="78" spans="1:27" ht="22.5" customHeight="1" thickTop="1" thickBot="1" x14ac:dyDescent="0.3">
      <c r="A78" s="425">
        <v>1</v>
      </c>
      <c r="B78" s="505" t="s">
        <v>216</v>
      </c>
      <c r="C78" s="505" t="s">
        <v>216</v>
      </c>
      <c r="D78" s="505" t="s">
        <v>231</v>
      </c>
      <c r="E78" s="505" t="s">
        <v>305</v>
      </c>
      <c r="F78" s="505"/>
      <c r="G78" s="525"/>
      <c r="H78" s="505"/>
      <c r="I78" s="505"/>
      <c r="J78" s="505"/>
      <c r="K78" s="501" t="s">
        <v>306</v>
      </c>
      <c r="L78" s="426">
        <f>+L96</f>
        <v>2000000</v>
      </c>
      <c r="M78" s="427">
        <f t="shared" ref="M78:U78" si="40">+M79+M100</f>
        <v>0</v>
      </c>
      <c r="N78" s="427">
        <f t="shared" si="40"/>
        <v>0</v>
      </c>
      <c r="O78" s="727">
        <f>+L78+M78-N78</f>
        <v>2000000</v>
      </c>
      <c r="P78" s="602">
        <f>+P96</f>
        <v>200000</v>
      </c>
      <c r="Q78" s="603">
        <v>1600000</v>
      </c>
      <c r="R78" s="727">
        <f>+R96</f>
        <v>200000</v>
      </c>
      <c r="S78" s="427">
        <f t="shared" si="40"/>
        <v>0</v>
      </c>
      <c r="T78" s="427">
        <f t="shared" si="40"/>
        <v>0</v>
      </c>
      <c r="U78" s="608">
        <f t="shared" si="40"/>
        <v>0</v>
      </c>
      <c r="V78" s="737">
        <f t="shared" si="39"/>
        <v>0</v>
      </c>
      <c r="W78" s="427"/>
      <c r="X78" s="522"/>
      <c r="Y78" s="522"/>
      <c r="Z78" s="738">
        <f t="shared" si="36"/>
        <v>2000000</v>
      </c>
      <c r="AA78" s="739">
        <f t="shared" si="37"/>
        <v>0</v>
      </c>
    </row>
    <row r="79" spans="1:27" ht="22.5" customHeight="1" thickTop="1" thickBot="1" x14ac:dyDescent="0.3">
      <c r="A79" s="425">
        <v>1</v>
      </c>
      <c r="B79" s="505" t="s">
        <v>216</v>
      </c>
      <c r="C79" s="505" t="s">
        <v>216</v>
      </c>
      <c r="D79" s="505" t="s">
        <v>231</v>
      </c>
      <c r="E79" s="505" t="s">
        <v>305</v>
      </c>
      <c r="F79" s="505" t="s">
        <v>307</v>
      </c>
      <c r="G79" s="525"/>
      <c r="H79" s="505"/>
      <c r="I79" s="505"/>
      <c r="J79" s="505"/>
      <c r="K79" s="502" t="s">
        <v>308</v>
      </c>
      <c r="L79" s="427">
        <v>0</v>
      </c>
      <c r="M79" s="427">
        <f t="shared" ref="M79:U79" si="41">+M80+M84+M88+M92+M96</f>
        <v>0</v>
      </c>
      <c r="N79" s="427">
        <f t="shared" si="41"/>
        <v>0</v>
      </c>
      <c r="O79" s="427">
        <v>0</v>
      </c>
      <c r="P79" s="605">
        <v>0</v>
      </c>
      <c r="Q79" s="606">
        <v>0</v>
      </c>
      <c r="R79" s="607">
        <v>0</v>
      </c>
      <c r="S79" s="427">
        <f t="shared" si="41"/>
        <v>0</v>
      </c>
      <c r="T79" s="427">
        <f t="shared" si="41"/>
        <v>0</v>
      </c>
      <c r="U79" s="608">
        <f t="shared" si="41"/>
        <v>0</v>
      </c>
      <c r="V79" s="737">
        <v>0</v>
      </c>
      <c r="W79" s="427"/>
      <c r="X79" s="522"/>
      <c r="Y79" s="522"/>
      <c r="Z79" s="738">
        <f t="shared" si="36"/>
        <v>0</v>
      </c>
      <c r="AA79" s="739">
        <f t="shared" si="37"/>
        <v>0</v>
      </c>
    </row>
    <row r="80" spans="1:27" ht="22.5" customHeight="1" thickTop="1" thickBot="1" x14ac:dyDescent="0.3">
      <c r="A80" s="425">
        <v>1</v>
      </c>
      <c r="B80" s="505" t="s">
        <v>216</v>
      </c>
      <c r="C80" s="505" t="s">
        <v>216</v>
      </c>
      <c r="D80" s="505" t="s">
        <v>231</v>
      </c>
      <c r="E80" s="505" t="s">
        <v>305</v>
      </c>
      <c r="F80" s="505" t="s">
        <v>307</v>
      </c>
      <c r="G80" s="505" t="s">
        <v>305</v>
      </c>
      <c r="H80" s="505"/>
      <c r="I80" s="505"/>
      <c r="J80" s="505"/>
      <c r="K80" s="501" t="s">
        <v>309</v>
      </c>
      <c r="L80" s="427">
        <f>SUM(L81:L83)</f>
        <v>0</v>
      </c>
      <c r="M80" s="427">
        <f t="shared" ref="M80:U80" si="42">SUM(M81:M83)</f>
        <v>0</v>
      </c>
      <c r="N80" s="427">
        <f t="shared" si="42"/>
        <v>0</v>
      </c>
      <c r="O80" s="427">
        <f t="shared" si="42"/>
        <v>0</v>
      </c>
      <c r="P80" s="605">
        <f t="shared" si="42"/>
        <v>0</v>
      </c>
      <c r="Q80" s="606">
        <f t="shared" si="42"/>
        <v>0</v>
      </c>
      <c r="R80" s="607">
        <f t="shared" si="42"/>
        <v>0</v>
      </c>
      <c r="S80" s="427">
        <f t="shared" si="42"/>
        <v>0</v>
      </c>
      <c r="T80" s="427">
        <f t="shared" si="42"/>
        <v>0</v>
      </c>
      <c r="U80" s="608">
        <f t="shared" si="42"/>
        <v>0</v>
      </c>
      <c r="V80" s="427" t="e">
        <f t="shared" ref="V80:V135" si="43">+U80/T80</f>
        <v>#DIV/0!</v>
      </c>
      <c r="W80" s="427"/>
      <c r="X80" s="522"/>
      <c r="Y80" s="522"/>
    </row>
    <row r="81" spans="1:27" ht="22.5" customHeight="1" thickTop="1" thickBot="1" x14ac:dyDescent="0.3">
      <c r="A81" s="425">
        <v>1</v>
      </c>
      <c r="B81" s="505" t="s">
        <v>216</v>
      </c>
      <c r="C81" s="505" t="s">
        <v>216</v>
      </c>
      <c r="D81" s="505" t="s">
        <v>231</v>
      </c>
      <c r="E81" s="505" t="s">
        <v>305</v>
      </c>
      <c r="F81" s="505" t="s">
        <v>307</v>
      </c>
      <c r="G81" s="505" t="s">
        <v>305</v>
      </c>
      <c r="H81" s="505" t="s">
        <v>216</v>
      </c>
      <c r="I81" s="505"/>
      <c r="J81" s="505"/>
      <c r="K81" s="502" t="s">
        <v>310</v>
      </c>
      <c r="L81" s="427"/>
      <c r="M81" s="427"/>
      <c r="N81" s="427"/>
      <c r="O81" s="426">
        <f>+L81+M81-N81</f>
        <v>0</v>
      </c>
      <c r="P81" s="605"/>
      <c r="Q81" s="606"/>
      <c r="R81" s="607"/>
      <c r="S81" s="427"/>
      <c r="T81" s="427"/>
      <c r="U81" s="608"/>
      <c r="V81" s="737">
        <v>0</v>
      </c>
      <c r="W81" s="427"/>
      <c r="X81" s="522"/>
      <c r="Y81" s="522"/>
      <c r="Z81" s="738">
        <f t="shared" ref="Z81:Z83" si="44">SUBTOTAL(9,P81:S81)</f>
        <v>0</v>
      </c>
      <c r="AA81" s="739">
        <f t="shared" ref="AA81:AA83" si="45">+Z81-O81</f>
        <v>0</v>
      </c>
    </row>
    <row r="82" spans="1:27" ht="22.5" customHeight="1" thickTop="1" thickBot="1" x14ac:dyDescent="0.3">
      <c r="A82" s="425">
        <v>1</v>
      </c>
      <c r="B82" s="505" t="s">
        <v>216</v>
      </c>
      <c r="C82" s="505" t="s">
        <v>216</v>
      </c>
      <c r="D82" s="505" t="s">
        <v>231</v>
      </c>
      <c r="E82" s="505" t="s">
        <v>305</v>
      </c>
      <c r="F82" s="505" t="s">
        <v>307</v>
      </c>
      <c r="G82" s="505" t="s">
        <v>305</v>
      </c>
      <c r="H82" s="505" t="s">
        <v>227</v>
      </c>
      <c r="I82" s="505"/>
      <c r="J82" s="505"/>
      <c r="K82" s="502" t="s">
        <v>311</v>
      </c>
      <c r="L82" s="427"/>
      <c r="M82" s="427"/>
      <c r="N82" s="427"/>
      <c r="O82" s="426">
        <f>+L82+M82-N82</f>
        <v>0</v>
      </c>
      <c r="P82" s="605"/>
      <c r="Q82" s="606"/>
      <c r="R82" s="607"/>
      <c r="S82" s="427"/>
      <c r="T82" s="427"/>
      <c r="U82" s="608"/>
      <c r="V82" s="737">
        <v>0</v>
      </c>
      <c r="W82" s="427"/>
      <c r="X82" s="522"/>
      <c r="Y82" s="522"/>
      <c r="Z82" s="738">
        <f t="shared" si="44"/>
        <v>0</v>
      </c>
      <c r="AA82" s="739">
        <f t="shared" si="45"/>
        <v>0</v>
      </c>
    </row>
    <row r="83" spans="1:27" ht="22.5" customHeight="1" thickTop="1" thickBot="1" x14ac:dyDescent="0.3">
      <c r="A83" s="425">
        <v>1</v>
      </c>
      <c r="B83" s="505" t="s">
        <v>216</v>
      </c>
      <c r="C83" s="505" t="s">
        <v>216</v>
      </c>
      <c r="D83" s="505" t="s">
        <v>231</v>
      </c>
      <c r="E83" s="505" t="s">
        <v>305</v>
      </c>
      <c r="F83" s="505" t="s">
        <v>307</v>
      </c>
      <c r="G83" s="505" t="s">
        <v>305</v>
      </c>
      <c r="H83" s="505" t="s">
        <v>229</v>
      </c>
      <c r="I83" s="505"/>
      <c r="J83" s="505"/>
      <c r="K83" s="502" t="s">
        <v>312</v>
      </c>
      <c r="L83" s="427"/>
      <c r="M83" s="427"/>
      <c r="N83" s="427"/>
      <c r="O83" s="426">
        <f>+L83+M83-N83</f>
        <v>0</v>
      </c>
      <c r="P83" s="605"/>
      <c r="Q83" s="606"/>
      <c r="R83" s="607"/>
      <c r="S83" s="427"/>
      <c r="T83" s="427"/>
      <c r="U83" s="608"/>
      <c r="V83" s="737">
        <v>0</v>
      </c>
      <c r="W83" s="427"/>
      <c r="X83" s="522"/>
      <c r="Y83" s="522"/>
      <c r="Z83" s="738">
        <f t="shared" si="44"/>
        <v>0</v>
      </c>
      <c r="AA83" s="739">
        <f t="shared" si="45"/>
        <v>0</v>
      </c>
    </row>
    <row r="84" spans="1:27" ht="22.5" customHeight="1" thickTop="1" thickBot="1" x14ac:dyDescent="0.3">
      <c r="A84" s="425">
        <v>1</v>
      </c>
      <c r="B84" s="505" t="s">
        <v>216</v>
      </c>
      <c r="C84" s="505" t="s">
        <v>216</v>
      </c>
      <c r="D84" s="505" t="s">
        <v>231</v>
      </c>
      <c r="E84" s="505" t="s">
        <v>305</v>
      </c>
      <c r="F84" s="505" t="s">
        <v>307</v>
      </c>
      <c r="G84" s="505" t="s">
        <v>313</v>
      </c>
      <c r="H84" s="505"/>
      <c r="I84" s="505"/>
      <c r="J84" s="505"/>
      <c r="K84" s="501" t="s">
        <v>314</v>
      </c>
      <c r="L84" s="427">
        <f>SUM(L85:L87)</f>
        <v>0</v>
      </c>
      <c r="M84" s="427">
        <f t="shared" ref="M84:U84" si="46">SUM(M85:M87)</f>
        <v>0</v>
      </c>
      <c r="N84" s="427">
        <f t="shared" si="46"/>
        <v>0</v>
      </c>
      <c r="O84" s="427">
        <f t="shared" si="46"/>
        <v>0</v>
      </c>
      <c r="P84" s="605">
        <f t="shared" si="46"/>
        <v>0</v>
      </c>
      <c r="Q84" s="606">
        <f t="shared" si="46"/>
        <v>0</v>
      </c>
      <c r="R84" s="607">
        <f t="shared" si="46"/>
        <v>0</v>
      </c>
      <c r="S84" s="427">
        <f t="shared" si="46"/>
        <v>0</v>
      </c>
      <c r="T84" s="427">
        <f t="shared" si="46"/>
        <v>0</v>
      </c>
      <c r="U84" s="608">
        <f t="shared" si="46"/>
        <v>0</v>
      </c>
      <c r="V84" s="427" t="e">
        <f t="shared" si="43"/>
        <v>#DIV/0!</v>
      </c>
      <c r="W84" s="427"/>
      <c r="X84" s="522"/>
      <c r="Y84" s="522"/>
    </row>
    <row r="85" spans="1:27" ht="22.5" customHeight="1" thickTop="1" thickBot="1" x14ac:dyDescent="0.3">
      <c r="A85" s="425">
        <v>1</v>
      </c>
      <c r="B85" s="505" t="s">
        <v>216</v>
      </c>
      <c r="C85" s="505" t="s">
        <v>216</v>
      </c>
      <c r="D85" s="505" t="s">
        <v>231</v>
      </c>
      <c r="E85" s="505" t="s">
        <v>305</v>
      </c>
      <c r="F85" s="505" t="s">
        <v>307</v>
      </c>
      <c r="G85" s="505" t="s">
        <v>313</v>
      </c>
      <c r="H85" s="505" t="s">
        <v>216</v>
      </c>
      <c r="I85" s="505"/>
      <c r="J85" s="505"/>
      <c r="K85" s="502" t="s">
        <v>315</v>
      </c>
      <c r="L85" s="427"/>
      <c r="M85" s="427"/>
      <c r="N85" s="427"/>
      <c r="O85" s="426">
        <f>+L85+M85-N85</f>
        <v>0</v>
      </c>
      <c r="P85" s="605"/>
      <c r="Q85" s="606"/>
      <c r="R85" s="607"/>
      <c r="S85" s="427"/>
      <c r="T85" s="427"/>
      <c r="U85" s="608"/>
      <c r="V85" s="737">
        <v>0</v>
      </c>
      <c r="W85" s="427"/>
      <c r="X85" s="522"/>
      <c r="Y85" s="522"/>
      <c r="Z85" s="738">
        <f t="shared" ref="Z85:Z87" si="47">SUBTOTAL(9,P85:S85)</f>
        <v>0</v>
      </c>
      <c r="AA85" s="739">
        <f t="shared" ref="AA85:AA100" si="48">+Z85-O85</f>
        <v>0</v>
      </c>
    </row>
    <row r="86" spans="1:27" ht="22.5" customHeight="1" thickTop="1" thickBot="1" x14ac:dyDescent="0.3">
      <c r="A86" s="425">
        <v>1</v>
      </c>
      <c r="B86" s="505" t="s">
        <v>216</v>
      </c>
      <c r="C86" s="505" t="s">
        <v>216</v>
      </c>
      <c r="D86" s="505" t="s">
        <v>231</v>
      </c>
      <c r="E86" s="505" t="s">
        <v>305</v>
      </c>
      <c r="F86" s="505" t="s">
        <v>307</v>
      </c>
      <c r="G86" s="505" t="s">
        <v>313</v>
      </c>
      <c r="H86" s="505" t="s">
        <v>227</v>
      </c>
      <c r="I86" s="505"/>
      <c r="J86" s="505"/>
      <c r="K86" s="502" t="s">
        <v>316</v>
      </c>
      <c r="L86" s="427"/>
      <c r="M86" s="427"/>
      <c r="N86" s="427"/>
      <c r="O86" s="426">
        <f>+L86+M86-N86</f>
        <v>0</v>
      </c>
      <c r="P86" s="605"/>
      <c r="Q86" s="606"/>
      <c r="R86" s="607"/>
      <c r="S86" s="427"/>
      <c r="T86" s="427"/>
      <c r="U86" s="608"/>
      <c r="V86" s="737">
        <v>0</v>
      </c>
      <c r="W86" s="427"/>
      <c r="X86" s="522"/>
      <c r="Y86" s="522"/>
      <c r="Z86" s="738">
        <f t="shared" si="47"/>
        <v>0</v>
      </c>
      <c r="AA86" s="739">
        <f t="shared" si="48"/>
        <v>0</v>
      </c>
    </row>
    <row r="87" spans="1:27" ht="22.5" customHeight="1" thickTop="1" thickBot="1" x14ac:dyDescent="0.3">
      <c r="A87" s="425">
        <v>1</v>
      </c>
      <c r="B87" s="505" t="s">
        <v>216</v>
      </c>
      <c r="C87" s="505" t="s">
        <v>216</v>
      </c>
      <c r="D87" s="505" t="s">
        <v>231</v>
      </c>
      <c r="E87" s="505" t="s">
        <v>305</v>
      </c>
      <c r="F87" s="505" t="s">
        <v>307</v>
      </c>
      <c r="G87" s="505" t="s">
        <v>313</v>
      </c>
      <c r="H87" s="505" t="s">
        <v>229</v>
      </c>
      <c r="I87" s="505"/>
      <c r="J87" s="505"/>
      <c r="K87" s="502" t="s">
        <v>317</v>
      </c>
      <c r="L87" s="427"/>
      <c r="M87" s="427"/>
      <c r="N87" s="427"/>
      <c r="O87" s="426">
        <f>+L87+M87-N87</f>
        <v>0</v>
      </c>
      <c r="P87" s="605"/>
      <c r="Q87" s="606"/>
      <c r="R87" s="607"/>
      <c r="S87" s="427"/>
      <c r="T87" s="427"/>
      <c r="U87" s="608"/>
      <c r="V87" s="737">
        <v>0</v>
      </c>
      <c r="W87" s="427"/>
      <c r="X87" s="522"/>
      <c r="Y87" s="522"/>
      <c r="Z87" s="738">
        <f t="shared" si="47"/>
        <v>0</v>
      </c>
      <c r="AA87" s="739">
        <f t="shared" si="48"/>
        <v>0</v>
      </c>
    </row>
    <row r="88" spans="1:27" s="174" customFormat="1" ht="22.5" customHeight="1" thickTop="1" thickBot="1" x14ac:dyDescent="0.3">
      <c r="A88" s="425">
        <v>1</v>
      </c>
      <c r="B88" s="505" t="s">
        <v>216</v>
      </c>
      <c r="C88" s="505" t="s">
        <v>216</v>
      </c>
      <c r="D88" s="505" t="s">
        <v>231</v>
      </c>
      <c r="E88" s="505" t="s">
        <v>305</v>
      </c>
      <c r="F88" s="505" t="s">
        <v>307</v>
      </c>
      <c r="G88" s="505" t="s">
        <v>243</v>
      </c>
      <c r="H88" s="505"/>
      <c r="I88" s="519"/>
      <c r="J88" s="519"/>
      <c r="K88" s="501" t="s">
        <v>318</v>
      </c>
      <c r="L88" s="426">
        <f>SUM(L89:L91)</f>
        <v>0</v>
      </c>
      <c r="M88" s="426">
        <f t="shared" ref="M88:U88" si="49">SUM(M89:M91)</f>
        <v>0</v>
      </c>
      <c r="N88" s="426">
        <f t="shared" si="49"/>
        <v>0</v>
      </c>
      <c r="O88" s="426">
        <f t="shared" si="49"/>
        <v>0</v>
      </c>
      <c r="P88" s="602">
        <f t="shared" si="49"/>
        <v>0</v>
      </c>
      <c r="Q88" s="603">
        <f t="shared" si="49"/>
        <v>0</v>
      </c>
      <c r="R88" s="604">
        <f t="shared" si="49"/>
        <v>0</v>
      </c>
      <c r="S88" s="426">
        <f t="shared" si="49"/>
        <v>0</v>
      </c>
      <c r="T88" s="426">
        <f t="shared" si="49"/>
        <v>0</v>
      </c>
      <c r="U88" s="601">
        <f t="shared" si="49"/>
        <v>0</v>
      </c>
      <c r="V88" s="426" t="e">
        <f t="shared" si="43"/>
        <v>#DIV/0!</v>
      </c>
      <c r="W88" s="426"/>
      <c r="X88" s="522"/>
      <c r="Y88" s="522"/>
    </row>
    <row r="89" spans="1:27" s="174" customFormat="1" ht="22.5" customHeight="1" thickTop="1" thickBot="1" x14ac:dyDescent="0.3">
      <c r="A89" s="425">
        <v>1</v>
      </c>
      <c r="B89" s="505" t="s">
        <v>216</v>
      </c>
      <c r="C89" s="505" t="s">
        <v>216</v>
      </c>
      <c r="D89" s="505" t="s">
        <v>231</v>
      </c>
      <c r="E89" s="505" t="s">
        <v>305</v>
      </c>
      <c r="F89" s="505" t="s">
        <v>307</v>
      </c>
      <c r="G89" s="505" t="s">
        <v>243</v>
      </c>
      <c r="H89" s="505" t="s">
        <v>216</v>
      </c>
      <c r="I89" s="519"/>
      <c r="J89" s="519"/>
      <c r="K89" s="502" t="s">
        <v>319</v>
      </c>
      <c r="L89" s="426"/>
      <c r="M89" s="426"/>
      <c r="N89" s="426"/>
      <c r="O89" s="426">
        <f>+L89+M89-N89</f>
        <v>0</v>
      </c>
      <c r="P89" s="602"/>
      <c r="Q89" s="603"/>
      <c r="R89" s="604"/>
      <c r="S89" s="426"/>
      <c r="T89" s="426"/>
      <c r="U89" s="601"/>
      <c r="V89" s="737">
        <v>0</v>
      </c>
      <c r="W89" s="426"/>
      <c r="X89" s="522"/>
      <c r="Y89" s="522"/>
      <c r="Z89" s="738">
        <f t="shared" ref="Z89:Z91" si="50">SUBTOTAL(9,P89:S89)</f>
        <v>0</v>
      </c>
      <c r="AA89" s="739">
        <f t="shared" si="48"/>
        <v>0</v>
      </c>
    </row>
    <row r="90" spans="1:27" s="174" customFormat="1" ht="22.5" customHeight="1" thickTop="1" thickBot="1" x14ac:dyDescent="0.3">
      <c r="A90" s="425">
        <v>1</v>
      </c>
      <c r="B90" s="505" t="s">
        <v>216</v>
      </c>
      <c r="C90" s="505" t="s">
        <v>216</v>
      </c>
      <c r="D90" s="505" t="s">
        <v>231</v>
      </c>
      <c r="E90" s="505" t="s">
        <v>305</v>
      </c>
      <c r="F90" s="505" t="s">
        <v>307</v>
      </c>
      <c r="G90" s="505" t="s">
        <v>243</v>
      </c>
      <c r="H90" s="505" t="s">
        <v>227</v>
      </c>
      <c r="I90" s="519"/>
      <c r="J90" s="519"/>
      <c r="K90" s="502" t="s">
        <v>320</v>
      </c>
      <c r="L90" s="426"/>
      <c r="M90" s="426"/>
      <c r="N90" s="426"/>
      <c r="O90" s="426">
        <f>+L90+M90-N90</f>
        <v>0</v>
      </c>
      <c r="P90" s="602"/>
      <c r="Q90" s="603"/>
      <c r="R90" s="604"/>
      <c r="S90" s="426"/>
      <c r="T90" s="426"/>
      <c r="U90" s="601"/>
      <c r="V90" s="737">
        <v>0</v>
      </c>
      <c r="W90" s="426"/>
      <c r="X90" s="522"/>
      <c r="Y90" s="522"/>
      <c r="Z90" s="738">
        <f t="shared" si="50"/>
        <v>0</v>
      </c>
      <c r="AA90" s="739">
        <f t="shared" si="48"/>
        <v>0</v>
      </c>
    </row>
    <row r="91" spans="1:27" s="174" customFormat="1" ht="22.5" customHeight="1" thickTop="1" thickBot="1" x14ac:dyDescent="0.3">
      <c r="A91" s="425">
        <v>1</v>
      </c>
      <c r="B91" s="505" t="s">
        <v>216</v>
      </c>
      <c r="C91" s="505" t="s">
        <v>216</v>
      </c>
      <c r="D91" s="505" t="s">
        <v>231</v>
      </c>
      <c r="E91" s="505" t="s">
        <v>305</v>
      </c>
      <c r="F91" s="505" t="s">
        <v>307</v>
      </c>
      <c r="G91" s="505" t="s">
        <v>243</v>
      </c>
      <c r="H91" s="505" t="s">
        <v>229</v>
      </c>
      <c r="I91" s="519"/>
      <c r="J91" s="519"/>
      <c r="K91" s="502" t="s">
        <v>321</v>
      </c>
      <c r="L91" s="426"/>
      <c r="M91" s="426"/>
      <c r="N91" s="426"/>
      <c r="O91" s="426">
        <f>+L91+M91-N91</f>
        <v>0</v>
      </c>
      <c r="P91" s="602"/>
      <c r="Q91" s="603"/>
      <c r="R91" s="604"/>
      <c r="S91" s="426"/>
      <c r="T91" s="426"/>
      <c r="U91" s="601"/>
      <c r="V91" s="737">
        <v>0</v>
      </c>
      <c r="W91" s="426"/>
      <c r="X91" s="522"/>
      <c r="Y91" s="522"/>
      <c r="Z91" s="738">
        <f t="shared" si="50"/>
        <v>0</v>
      </c>
      <c r="AA91" s="739">
        <f t="shared" si="48"/>
        <v>0</v>
      </c>
    </row>
    <row r="92" spans="1:27" s="174" customFormat="1" ht="22.5" customHeight="1" thickTop="1" thickBot="1" x14ac:dyDescent="0.3">
      <c r="A92" s="425">
        <v>1</v>
      </c>
      <c r="B92" s="505" t="s">
        <v>216</v>
      </c>
      <c r="C92" s="505" t="s">
        <v>216</v>
      </c>
      <c r="D92" s="505" t="s">
        <v>231</v>
      </c>
      <c r="E92" s="505" t="s">
        <v>305</v>
      </c>
      <c r="F92" s="505" t="s">
        <v>307</v>
      </c>
      <c r="G92" s="505" t="s">
        <v>322</v>
      </c>
      <c r="H92" s="505"/>
      <c r="I92" s="519"/>
      <c r="J92" s="519"/>
      <c r="K92" s="501" t="s">
        <v>323</v>
      </c>
      <c r="L92" s="426">
        <f>SUM(L93:L95)</f>
        <v>0</v>
      </c>
      <c r="M92" s="426">
        <f t="shared" ref="M92:U92" si="51">SUM(M93:M95)</f>
        <v>0</v>
      </c>
      <c r="N92" s="426">
        <f t="shared" si="51"/>
        <v>0</v>
      </c>
      <c r="O92" s="426">
        <f t="shared" si="51"/>
        <v>0</v>
      </c>
      <c r="P92" s="602">
        <f t="shared" si="51"/>
        <v>0</v>
      </c>
      <c r="Q92" s="603">
        <f t="shared" si="51"/>
        <v>0</v>
      </c>
      <c r="R92" s="604">
        <f t="shared" si="51"/>
        <v>0</v>
      </c>
      <c r="S92" s="426">
        <f t="shared" si="51"/>
        <v>0</v>
      </c>
      <c r="T92" s="426">
        <f t="shared" si="51"/>
        <v>0</v>
      </c>
      <c r="U92" s="601">
        <f t="shared" si="51"/>
        <v>0</v>
      </c>
      <c r="V92" s="426" t="e">
        <f t="shared" si="43"/>
        <v>#DIV/0!</v>
      </c>
      <c r="W92" s="426"/>
      <c r="X92" s="522"/>
      <c r="Y92" s="522"/>
    </row>
    <row r="93" spans="1:27" s="174" customFormat="1" ht="22.5" customHeight="1" thickTop="1" thickBot="1" x14ac:dyDescent="0.3">
      <c r="A93" s="425">
        <v>1</v>
      </c>
      <c r="B93" s="505" t="s">
        <v>216</v>
      </c>
      <c r="C93" s="505" t="s">
        <v>216</v>
      </c>
      <c r="D93" s="505" t="s">
        <v>231</v>
      </c>
      <c r="E93" s="505" t="s">
        <v>305</v>
      </c>
      <c r="F93" s="505" t="s">
        <v>307</v>
      </c>
      <c r="G93" s="505" t="s">
        <v>322</v>
      </c>
      <c r="H93" s="505" t="s">
        <v>216</v>
      </c>
      <c r="I93" s="519"/>
      <c r="J93" s="519"/>
      <c r="K93" s="502" t="s">
        <v>324</v>
      </c>
      <c r="L93" s="426"/>
      <c r="M93" s="426"/>
      <c r="N93" s="426"/>
      <c r="O93" s="426">
        <f>+L93+M93-N93</f>
        <v>0</v>
      </c>
      <c r="P93" s="602"/>
      <c r="Q93" s="603"/>
      <c r="R93" s="604"/>
      <c r="S93" s="426"/>
      <c r="T93" s="426"/>
      <c r="U93" s="601"/>
      <c r="V93" s="737">
        <v>0</v>
      </c>
      <c r="W93" s="426"/>
      <c r="X93" s="522"/>
      <c r="Y93" s="522"/>
      <c r="Z93" s="738">
        <f t="shared" ref="Z93:Z100" si="52">SUBTOTAL(9,P93:S93)</f>
        <v>0</v>
      </c>
      <c r="AA93" s="739">
        <f t="shared" si="48"/>
        <v>0</v>
      </c>
    </row>
    <row r="94" spans="1:27" s="174" customFormat="1" ht="22.5" customHeight="1" thickTop="1" thickBot="1" x14ac:dyDescent="0.3">
      <c r="A94" s="425">
        <v>1</v>
      </c>
      <c r="B94" s="505" t="s">
        <v>216</v>
      </c>
      <c r="C94" s="505" t="s">
        <v>216</v>
      </c>
      <c r="D94" s="505" t="s">
        <v>231</v>
      </c>
      <c r="E94" s="505" t="s">
        <v>305</v>
      </c>
      <c r="F94" s="505" t="s">
        <v>307</v>
      </c>
      <c r="G94" s="505" t="s">
        <v>322</v>
      </c>
      <c r="H94" s="505" t="s">
        <v>227</v>
      </c>
      <c r="I94" s="519"/>
      <c r="J94" s="519"/>
      <c r="K94" s="502" t="s">
        <v>325</v>
      </c>
      <c r="L94" s="426"/>
      <c r="M94" s="426"/>
      <c r="N94" s="426"/>
      <c r="O94" s="426">
        <f>+L94+M94-N94</f>
        <v>0</v>
      </c>
      <c r="P94" s="602"/>
      <c r="Q94" s="603"/>
      <c r="R94" s="604"/>
      <c r="S94" s="426"/>
      <c r="T94" s="426"/>
      <c r="U94" s="601"/>
      <c r="V94" s="737">
        <v>0</v>
      </c>
      <c r="W94" s="426"/>
      <c r="X94" s="522"/>
      <c r="Y94" s="522"/>
      <c r="Z94" s="738">
        <f t="shared" si="52"/>
        <v>0</v>
      </c>
      <c r="AA94" s="739">
        <f t="shared" si="48"/>
        <v>0</v>
      </c>
    </row>
    <row r="95" spans="1:27" s="174" customFormat="1" ht="22.5" customHeight="1" thickTop="1" thickBot="1" x14ac:dyDescent="0.3">
      <c r="A95" s="425">
        <v>1</v>
      </c>
      <c r="B95" s="505" t="s">
        <v>216</v>
      </c>
      <c r="C95" s="505" t="s">
        <v>216</v>
      </c>
      <c r="D95" s="505" t="s">
        <v>231</v>
      </c>
      <c r="E95" s="505" t="s">
        <v>305</v>
      </c>
      <c r="F95" s="505" t="s">
        <v>307</v>
      </c>
      <c r="G95" s="505" t="s">
        <v>322</v>
      </c>
      <c r="H95" s="505" t="s">
        <v>229</v>
      </c>
      <c r="I95" s="519"/>
      <c r="J95" s="519"/>
      <c r="K95" s="502" t="s">
        <v>326</v>
      </c>
      <c r="L95" s="426"/>
      <c r="M95" s="426"/>
      <c r="N95" s="426"/>
      <c r="O95" s="426">
        <f>+L95+M95-N95</f>
        <v>0</v>
      </c>
      <c r="P95" s="602"/>
      <c r="Q95" s="603"/>
      <c r="R95" s="604"/>
      <c r="S95" s="426"/>
      <c r="T95" s="426"/>
      <c r="U95" s="601"/>
      <c r="V95" s="737">
        <v>0</v>
      </c>
      <c r="W95" s="426"/>
      <c r="X95" s="522"/>
      <c r="Y95" s="522"/>
      <c r="Z95" s="738">
        <f t="shared" si="52"/>
        <v>0</v>
      </c>
      <c r="AA95" s="739">
        <f t="shared" si="48"/>
        <v>0</v>
      </c>
    </row>
    <row r="96" spans="1:27" s="174" customFormat="1" ht="22.5" customHeight="1" thickTop="1" thickBot="1" x14ac:dyDescent="0.3">
      <c r="A96" s="425">
        <v>1</v>
      </c>
      <c r="B96" s="505" t="s">
        <v>216</v>
      </c>
      <c r="C96" s="505" t="s">
        <v>216</v>
      </c>
      <c r="D96" s="505" t="s">
        <v>231</v>
      </c>
      <c r="E96" s="505" t="s">
        <v>305</v>
      </c>
      <c r="F96" s="505" t="s">
        <v>307</v>
      </c>
      <c r="G96" s="505" t="s">
        <v>327</v>
      </c>
      <c r="H96" s="505"/>
      <c r="I96" s="519"/>
      <c r="J96" s="519"/>
      <c r="K96" s="502" t="s">
        <v>328</v>
      </c>
      <c r="L96" s="728">
        <f>SUM(L97:L99)</f>
        <v>2000000</v>
      </c>
      <c r="M96" s="427">
        <f t="shared" ref="M96:U96" si="53">SUM(M97:M99)</f>
        <v>0</v>
      </c>
      <c r="N96" s="427">
        <f t="shared" si="53"/>
        <v>0</v>
      </c>
      <c r="O96" s="744">
        <f t="shared" si="53"/>
        <v>2000000</v>
      </c>
      <c r="P96" s="605">
        <f t="shared" si="53"/>
        <v>200000</v>
      </c>
      <c r="Q96" s="606">
        <f t="shared" si="53"/>
        <v>1600000</v>
      </c>
      <c r="R96" s="607">
        <f t="shared" si="53"/>
        <v>200000</v>
      </c>
      <c r="S96" s="427">
        <f t="shared" si="53"/>
        <v>0</v>
      </c>
      <c r="T96" s="427">
        <f t="shared" si="53"/>
        <v>0</v>
      </c>
      <c r="U96" s="608">
        <f t="shared" si="53"/>
        <v>0</v>
      </c>
      <c r="V96" s="737">
        <f t="shared" ref="V96:V97" si="54">+U96/O96</f>
        <v>0</v>
      </c>
      <c r="W96" s="427"/>
      <c r="X96" s="729"/>
      <c r="Y96" s="729"/>
      <c r="Z96" s="738">
        <f t="shared" si="52"/>
        <v>2000000</v>
      </c>
      <c r="AA96" s="739">
        <f t="shared" si="48"/>
        <v>0</v>
      </c>
    </row>
    <row r="97" spans="1:27" s="174" customFormat="1" ht="22.5" customHeight="1" thickTop="1" thickBot="1" x14ac:dyDescent="0.3">
      <c r="A97" s="425">
        <v>1</v>
      </c>
      <c r="B97" s="505" t="s">
        <v>216</v>
      </c>
      <c r="C97" s="505" t="s">
        <v>216</v>
      </c>
      <c r="D97" s="505" t="s">
        <v>231</v>
      </c>
      <c r="E97" s="505" t="s">
        <v>305</v>
      </c>
      <c r="F97" s="505" t="s">
        <v>307</v>
      </c>
      <c r="G97" s="505" t="s">
        <v>327</v>
      </c>
      <c r="H97" s="505" t="s">
        <v>216</v>
      </c>
      <c r="I97" s="519"/>
      <c r="J97" s="519"/>
      <c r="K97" s="502" t="s">
        <v>329</v>
      </c>
      <c r="L97" s="427">
        <v>2000000</v>
      </c>
      <c r="M97" s="426"/>
      <c r="N97" s="426"/>
      <c r="O97" s="427">
        <f>+L97+M97-N97</f>
        <v>2000000</v>
      </c>
      <c r="P97" s="605">
        <f>+O97*10%</f>
        <v>200000</v>
      </c>
      <c r="Q97" s="606">
        <f>+O97*80%</f>
        <v>1600000</v>
      </c>
      <c r="R97" s="607">
        <f>+O97*10%</f>
        <v>200000</v>
      </c>
      <c r="S97" s="426"/>
      <c r="T97" s="426"/>
      <c r="U97" s="601"/>
      <c r="V97" s="737">
        <f t="shared" si="54"/>
        <v>0</v>
      </c>
      <c r="W97" s="426"/>
      <c r="X97" s="522"/>
      <c r="Y97" s="522"/>
      <c r="Z97" s="738">
        <f t="shared" si="52"/>
        <v>2000000</v>
      </c>
      <c r="AA97" s="739">
        <f t="shared" si="48"/>
        <v>0</v>
      </c>
    </row>
    <row r="98" spans="1:27" s="174" customFormat="1" ht="22.5" customHeight="1" thickTop="1" thickBot="1" x14ac:dyDescent="0.3">
      <c r="A98" s="425">
        <v>1</v>
      </c>
      <c r="B98" s="505" t="s">
        <v>216</v>
      </c>
      <c r="C98" s="505" t="s">
        <v>216</v>
      </c>
      <c r="D98" s="505" t="s">
        <v>231</v>
      </c>
      <c r="E98" s="505" t="s">
        <v>305</v>
      </c>
      <c r="F98" s="505" t="s">
        <v>307</v>
      </c>
      <c r="G98" s="505" t="s">
        <v>327</v>
      </c>
      <c r="H98" s="505" t="s">
        <v>227</v>
      </c>
      <c r="I98" s="519"/>
      <c r="J98" s="519"/>
      <c r="K98" s="502" t="s">
        <v>330</v>
      </c>
      <c r="L98" s="426"/>
      <c r="M98" s="426"/>
      <c r="N98" s="426"/>
      <c r="O98" s="426">
        <f>+L98+M98-N98</f>
        <v>0</v>
      </c>
      <c r="P98" s="602"/>
      <c r="Q98" s="603" t="s">
        <v>1153</v>
      </c>
      <c r="R98" s="604"/>
      <c r="S98" s="426"/>
      <c r="T98" s="426"/>
      <c r="U98" s="601"/>
      <c r="V98" s="737">
        <v>0</v>
      </c>
      <c r="W98" s="426"/>
      <c r="X98" s="522"/>
      <c r="Y98" s="522"/>
      <c r="Z98" s="738">
        <f t="shared" si="52"/>
        <v>0</v>
      </c>
      <c r="AA98" s="739">
        <f t="shared" si="48"/>
        <v>0</v>
      </c>
    </row>
    <row r="99" spans="1:27" s="174" customFormat="1" ht="22.5" customHeight="1" thickTop="1" thickBot="1" x14ac:dyDescent="0.3">
      <c r="A99" s="425">
        <v>1</v>
      </c>
      <c r="B99" s="505" t="s">
        <v>216</v>
      </c>
      <c r="C99" s="505" t="s">
        <v>216</v>
      </c>
      <c r="D99" s="505" t="s">
        <v>231</v>
      </c>
      <c r="E99" s="505" t="s">
        <v>305</v>
      </c>
      <c r="F99" s="505" t="s">
        <v>307</v>
      </c>
      <c r="G99" s="505" t="s">
        <v>327</v>
      </c>
      <c r="H99" s="505" t="s">
        <v>229</v>
      </c>
      <c r="I99" s="519"/>
      <c r="J99" s="519"/>
      <c r="K99" s="502" t="s">
        <v>331</v>
      </c>
      <c r="L99" s="426"/>
      <c r="M99" s="426"/>
      <c r="N99" s="426"/>
      <c r="O99" s="426">
        <f>+L99+M99-N99</f>
        <v>0</v>
      </c>
      <c r="P99" s="602"/>
      <c r="Q99" s="603"/>
      <c r="R99" s="604"/>
      <c r="S99" s="426"/>
      <c r="T99" s="426"/>
      <c r="U99" s="601"/>
      <c r="V99" s="737">
        <v>0</v>
      </c>
      <c r="W99" s="426"/>
      <c r="X99" s="522"/>
      <c r="Y99" s="522"/>
      <c r="Z99" s="738">
        <f t="shared" si="52"/>
        <v>0</v>
      </c>
      <c r="AA99" s="739">
        <f t="shared" si="48"/>
        <v>0</v>
      </c>
    </row>
    <row r="100" spans="1:27" ht="16.5" thickTop="1" thickBot="1" x14ac:dyDescent="0.3">
      <c r="A100" s="425">
        <v>1</v>
      </c>
      <c r="B100" s="505" t="s">
        <v>216</v>
      </c>
      <c r="C100" s="505" t="s">
        <v>216</v>
      </c>
      <c r="D100" s="505" t="s">
        <v>231</v>
      </c>
      <c r="E100" s="505" t="s">
        <v>305</v>
      </c>
      <c r="F100" s="505" t="s">
        <v>332</v>
      </c>
      <c r="G100" s="505"/>
      <c r="H100" s="505"/>
      <c r="I100" s="505"/>
      <c r="J100" s="505"/>
      <c r="K100" s="501" t="s">
        <v>333</v>
      </c>
      <c r="L100" s="427"/>
      <c r="M100" s="427"/>
      <c r="N100" s="427"/>
      <c r="O100" s="426">
        <f>+L100+M100-N100</f>
        <v>0</v>
      </c>
      <c r="P100" s="605"/>
      <c r="Q100" s="606"/>
      <c r="R100" s="607"/>
      <c r="S100" s="427"/>
      <c r="T100" s="427"/>
      <c r="U100" s="608"/>
      <c r="V100" s="737">
        <v>0</v>
      </c>
      <c r="W100" s="427"/>
      <c r="X100" s="522"/>
      <c r="Y100" s="522"/>
      <c r="Z100" s="738">
        <f t="shared" si="52"/>
        <v>0</v>
      </c>
      <c r="AA100" s="739">
        <f t="shared" si="48"/>
        <v>0</v>
      </c>
    </row>
    <row r="101" spans="1:27" ht="16.5" thickTop="1" thickBot="1" x14ac:dyDescent="0.3">
      <c r="A101" s="425">
        <v>1</v>
      </c>
      <c r="B101" s="505" t="s">
        <v>216</v>
      </c>
      <c r="C101" s="505" t="s">
        <v>216</v>
      </c>
      <c r="D101" s="505" t="s">
        <v>231</v>
      </c>
      <c r="E101" s="505" t="s">
        <v>243</v>
      </c>
      <c r="F101" s="505"/>
      <c r="G101" s="505"/>
      <c r="H101" s="505"/>
      <c r="I101" s="505"/>
      <c r="J101" s="505"/>
      <c r="K101" s="501" t="s">
        <v>334</v>
      </c>
      <c r="L101" s="427">
        <f>+L102+L147</f>
        <v>216000000</v>
      </c>
      <c r="M101" s="427">
        <f t="shared" ref="M101:O101" si="55">+M102+M147</f>
        <v>0</v>
      </c>
      <c r="N101" s="427">
        <f t="shared" si="55"/>
        <v>0</v>
      </c>
      <c r="O101" s="427">
        <f t="shared" si="55"/>
        <v>216000000</v>
      </c>
      <c r="P101" s="605">
        <f t="shared" ref="P101:U101" si="56">+P102+P147</f>
        <v>21600000</v>
      </c>
      <c r="Q101" s="606">
        <f t="shared" si="56"/>
        <v>172800000</v>
      </c>
      <c r="R101" s="607">
        <f t="shared" si="56"/>
        <v>21600000</v>
      </c>
      <c r="S101" s="427">
        <f t="shared" si="56"/>
        <v>0</v>
      </c>
      <c r="T101" s="427">
        <f t="shared" si="56"/>
        <v>0</v>
      </c>
      <c r="U101" s="608">
        <f t="shared" si="56"/>
        <v>172997851</v>
      </c>
      <c r="V101" s="427" t="e">
        <f t="shared" si="43"/>
        <v>#DIV/0!</v>
      </c>
      <c r="W101" s="427"/>
      <c r="X101" s="522"/>
      <c r="Y101" s="522"/>
    </row>
    <row r="102" spans="1:27" ht="16.5" thickTop="1" thickBot="1" x14ac:dyDescent="0.3">
      <c r="A102" s="425">
        <v>1</v>
      </c>
      <c r="B102" s="505" t="s">
        <v>216</v>
      </c>
      <c r="C102" s="505" t="s">
        <v>216</v>
      </c>
      <c r="D102" s="505" t="s">
        <v>231</v>
      </c>
      <c r="E102" s="505" t="s">
        <v>243</v>
      </c>
      <c r="F102" s="505" t="s">
        <v>307</v>
      </c>
      <c r="G102" s="505"/>
      <c r="H102" s="505"/>
      <c r="I102" s="505"/>
      <c r="J102" s="505"/>
      <c r="K102" s="502" t="s">
        <v>335</v>
      </c>
      <c r="L102" s="427">
        <f>+L103+L107+L111+L115+L119+L123+L127+L131+L135+L139+L143</f>
        <v>216000000</v>
      </c>
      <c r="M102" s="427">
        <f t="shared" ref="M102:O102" si="57">+M103+M107+M111+M115+M119+M123+M127+M131+M135+M139+M143</f>
        <v>0</v>
      </c>
      <c r="N102" s="427">
        <f t="shared" si="57"/>
        <v>0</v>
      </c>
      <c r="O102" s="744">
        <f t="shared" si="57"/>
        <v>216000000</v>
      </c>
      <c r="P102" s="605">
        <f t="shared" ref="P102:U102" si="58">+P103+P107+P111+P115+P119+P123+P127+P131+P135+P139+P143</f>
        <v>21600000</v>
      </c>
      <c r="Q102" s="606">
        <f t="shared" si="58"/>
        <v>172800000</v>
      </c>
      <c r="R102" s="607">
        <f t="shared" si="58"/>
        <v>21600000</v>
      </c>
      <c r="S102" s="427">
        <f t="shared" si="58"/>
        <v>0</v>
      </c>
      <c r="T102" s="427">
        <f t="shared" si="58"/>
        <v>0</v>
      </c>
      <c r="U102" s="608">
        <f t="shared" si="58"/>
        <v>172997851</v>
      </c>
      <c r="V102" s="427" t="e">
        <f t="shared" si="43"/>
        <v>#DIV/0!</v>
      </c>
      <c r="W102" s="427"/>
      <c r="X102" s="522"/>
      <c r="Y102" s="522"/>
    </row>
    <row r="103" spans="1:27" ht="16.5" thickTop="1" thickBot="1" x14ac:dyDescent="0.3">
      <c r="A103" s="425">
        <v>1</v>
      </c>
      <c r="B103" s="505" t="s">
        <v>216</v>
      </c>
      <c r="C103" s="505" t="s">
        <v>216</v>
      </c>
      <c r="D103" s="505" t="s">
        <v>231</v>
      </c>
      <c r="E103" s="505" t="s">
        <v>243</v>
      </c>
      <c r="F103" s="505" t="s">
        <v>307</v>
      </c>
      <c r="G103" s="505" t="s">
        <v>336</v>
      </c>
      <c r="H103" s="505"/>
      <c r="I103" s="505"/>
      <c r="J103" s="505"/>
      <c r="K103" s="502" t="s">
        <v>337</v>
      </c>
      <c r="L103" s="427">
        <f>SUM(L104:L106)</f>
        <v>0</v>
      </c>
      <c r="M103" s="427">
        <f t="shared" ref="M103:U103" si="59">SUM(M104:M106)</f>
        <v>0</v>
      </c>
      <c r="N103" s="427">
        <f t="shared" si="59"/>
        <v>0</v>
      </c>
      <c r="O103" s="427">
        <f t="shared" si="59"/>
        <v>0</v>
      </c>
      <c r="P103" s="605">
        <f t="shared" si="59"/>
        <v>0</v>
      </c>
      <c r="Q103" s="606">
        <f t="shared" si="59"/>
        <v>0</v>
      </c>
      <c r="R103" s="607">
        <f t="shared" si="59"/>
        <v>0</v>
      </c>
      <c r="S103" s="427">
        <f t="shared" si="59"/>
        <v>0</v>
      </c>
      <c r="T103" s="427">
        <f t="shared" si="59"/>
        <v>0</v>
      </c>
      <c r="U103" s="608">
        <f t="shared" si="59"/>
        <v>0</v>
      </c>
      <c r="V103" s="427" t="e">
        <f t="shared" si="43"/>
        <v>#DIV/0!</v>
      </c>
      <c r="W103" s="427"/>
      <c r="X103" s="522"/>
      <c r="Y103" s="522"/>
    </row>
    <row r="104" spans="1:27" ht="16.5" thickTop="1" thickBot="1" x14ac:dyDescent="0.3">
      <c r="A104" s="425">
        <v>1</v>
      </c>
      <c r="B104" s="505" t="s">
        <v>216</v>
      </c>
      <c r="C104" s="505" t="s">
        <v>216</v>
      </c>
      <c r="D104" s="505" t="s">
        <v>231</v>
      </c>
      <c r="E104" s="505" t="s">
        <v>243</v>
      </c>
      <c r="F104" s="505" t="s">
        <v>307</v>
      </c>
      <c r="G104" s="505" t="s">
        <v>336</v>
      </c>
      <c r="H104" s="505" t="s">
        <v>216</v>
      </c>
      <c r="I104" s="505"/>
      <c r="J104" s="505"/>
      <c r="K104" s="502" t="s">
        <v>338</v>
      </c>
      <c r="L104" s="427"/>
      <c r="M104" s="427"/>
      <c r="N104" s="427"/>
      <c r="O104" s="426">
        <f>+L104+M104-N104</f>
        <v>0</v>
      </c>
      <c r="P104" s="605"/>
      <c r="Q104" s="606"/>
      <c r="R104" s="607"/>
      <c r="S104" s="427"/>
      <c r="T104" s="427"/>
      <c r="U104" s="608"/>
      <c r="V104" s="737">
        <v>0</v>
      </c>
      <c r="W104" s="427"/>
      <c r="X104" s="522"/>
      <c r="Y104" s="522"/>
      <c r="Z104" s="738">
        <f t="shared" ref="Z104:Z106" si="60">SUBTOTAL(9,P104:S104)</f>
        <v>0</v>
      </c>
      <c r="AA104" s="739">
        <f t="shared" ref="AA104:AA106" si="61">+Z104-O104</f>
        <v>0</v>
      </c>
    </row>
    <row r="105" spans="1:27" ht="22.5" customHeight="1" thickTop="1" thickBot="1" x14ac:dyDescent="0.3">
      <c r="A105" s="425">
        <v>1</v>
      </c>
      <c r="B105" s="505" t="s">
        <v>216</v>
      </c>
      <c r="C105" s="505" t="s">
        <v>216</v>
      </c>
      <c r="D105" s="505" t="s">
        <v>231</v>
      </c>
      <c r="E105" s="505" t="s">
        <v>243</v>
      </c>
      <c r="F105" s="505" t="s">
        <v>307</v>
      </c>
      <c r="G105" s="505" t="s">
        <v>336</v>
      </c>
      <c r="H105" s="505" t="s">
        <v>227</v>
      </c>
      <c r="I105" s="505"/>
      <c r="J105" s="505"/>
      <c r="K105" s="502" t="s">
        <v>339</v>
      </c>
      <c r="L105" s="427"/>
      <c r="M105" s="427"/>
      <c r="N105" s="427"/>
      <c r="O105" s="426">
        <f>+L105+M105-N105</f>
        <v>0</v>
      </c>
      <c r="P105" s="605"/>
      <c r="Q105" s="606"/>
      <c r="R105" s="607"/>
      <c r="S105" s="427"/>
      <c r="T105" s="427"/>
      <c r="U105" s="608"/>
      <c r="V105" s="737">
        <v>0</v>
      </c>
      <c r="W105" s="427"/>
      <c r="X105" s="522"/>
      <c r="Y105" s="522"/>
      <c r="Z105" s="738">
        <f t="shared" si="60"/>
        <v>0</v>
      </c>
      <c r="AA105" s="739">
        <f t="shared" si="61"/>
        <v>0</v>
      </c>
    </row>
    <row r="106" spans="1:27" ht="22.5" customHeight="1" thickTop="1" thickBot="1" x14ac:dyDescent="0.3">
      <c r="A106" s="425">
        <v>1</v>
      </c>
      <c r="B106" s="505" t="s">
        <v>216</v>
      </c>
      <c r="C106" s="505" t="s">
        <v>216</v>
      </c>
      <c r="D106" s="505" t="s">
        <v>231</v>
      </c>
      <c r="E106" s="505" t="s">
        <v>243</v>
      </c>
      <c r="F106" s="505" t="s">
        <v>307</v>
      </c>
      <c r="G106" s="505" t="s">
        <v>336</v>
      </c>
      <c r="H106" s="505" t="s">
        <v>229</v>
      </c>
      <c r="I106" s="505"/>
      <c r="J106" s="505"/>
      <c r="K106" s="502" t="s">
        <v>340</v>
      </c>
      <c r="L106" s="427"/>
      <c r="M106" s="427"/>
      <c r="N106" s="427"/>
      <c r="O106" s="426">
        <f>+L106+M106-N106</f>
        <v>0</v>
      </c>
      <c r="P106" s="605"/>
      <c r="Q106" s="606"/>
      <c r="R106" s="607"/>
      <c r="S106" s="427"/>
      <c r="T106" s="427"/>
      <c r="U106" s="608"/>
      <c r="V106" s="737">
        <v>0</v>
      </c>
      <c r="W106" s="427"/>
      <c r="X106" s="522"/>
      <c r="Y106" s="522"/>
      <c r="Z106" s="738">
        <f t="shared" si="60"/>
        <v>0</v>
      </c>
      <c r="AA106" s="739">
        <f t="shared" si="61"/>
        <v>0</v>
      </c>
    </row>
    <row r="107" spans="1:27" ht="22.5" customHeight="1" thickTop="1" thickBot="1" x14ac:dyDescent="0.3">
      <c r="A107" s="425">
        <v>1</v>
      </c>
      <c r="B107" s="505" t="s">
        <v>216</v>
      </c>
      <c r="C107" s="505" t="s">
        <v>216</v>
      </c>
      <c r="D107" s="505" t="s">
        <v>231</v>
      </c>
      <c r="E107" s="505" t="s">
        <v>243</v>
      </c>
      <c r="F107" s="505" t="s">
        <v>307</v>
      </c>
      <c r="G107" s="505" t="s">
        <v>220</v>
      </c>
      <c r="H107" s="505"/>
      <c r="I107" s="505"/>
      <c r="J107" s="505"/>
      <c r="K107" s="502" t="s">
        <v>341</v>
      </c>
      <c r="L107" s="427">
        <f>SUM(L108:L110)</f>
        <v>0</v>
      </c>
      <c r="M107" s="427">
        <f t="shared" ref="M107:U107" si="62">SUM(M108:M110)</f>
        <v>0</v>
      </c>
      <c r="N107" s="427">
        <f t="shared" si="62"/>
        <v>0</v>
      </c>
      <c r="O107" s="427">
        <f t="shared" si="62"/>
        <v>0</v>
      </c>
      <c r="P107" s="605">
        <f t="shared" si="62"/>
        <v>0</v>
      </c>
      <c r="Q107" s="606">
        <f t="shared" si="62"/>
        <v>0</v>
      </c>
      <c r="R107" s="607">
        <f t="shared" si="62"/>
        <v>0</v>
      </c>
      <c r="S107" s="427">
        <f t="shared" si="62"/>
        <v>0</v>
      </c>
      <c r="T107" s="427">
        <f t="shared" si="62"/>
        <v>0</v>
      </c>
      <c r="U107" s="608">
        <f t="shared" si="62"/>
        <v>0</v>
      </c>
      <c r="V107" s="427" t="e">
        <f t="shared" si="43"/>
        <v>#DIV/0!</v>
      </c>
      <c r="W107" s="427"/>
      <c r="X107" s="522"/>
      <c r="Y107" s="522"/>
    </row>
    <row r="108" spans="1:27" ht="22.5" customHeight="1" thickTop="1" thickBot="1" x14ac:dyDescent="0.3">
      <c r="A108" s="425">
        <v>1</v>
      </c>
      <c r="B108" s="505" t="s">
        <v>216</v>
      </c>
      <c r="C108" s="505" t="s">
        <v>216</v>
      </c>
      <c r="D108" s="505" t="s">
        <v>231</v>
      </c>
      <c r="E108" s="505" t="s">
        <v>243</v>
      </c>
      <c r="F108" s="505" t="s">
        <v>307</v>
      </c>
      <c r="G108" s="505" t="s">
        <v>220</v>
      </c>
      <c r="H108" s="505" t="s">
        <v>216</v>
      </c>
      <c r="I108" s="505"/>
      <c r="J108" s="505"/>
      <c r="K108" s="502" t="s">
        <v>342</v>
      </c>
      <c r="L108" s="427"/>
      <c r="M108" s="427"/>
      <c r="N108" s="427"/>
      <c r="O108" s="426">
        <f>+L108+M108-N108</f>
        <v>0</v>
      </c>
      <c r="P108" s="605"/>
      <c r="Q108" s="606"/>
      <c r="R108" s="607"/>
      <c r="S108" s="427"/>
      <c r="T108" s="427"/>
      <c r="U108" s="608"/>
      <c r="V108" s="737">
        <v>0</v>
      </c>
      <c r="W108" s="427"/>
      <c r="X108" s="522"/>
      <c r="Y108" s="522"/>
      <c r="Z108" s="738">
        <f t="shared" ref="Z108:Z110" si="63">SUBTOTAL(9,P108:S108)</f>
        <v>0</v>
      </c>
      <c r="AA108" s="739">
        <f t="shared" ref="AA108:AA110" si="64">+Z108-O108</f>
        <v>0</v>
      </c>
    </row>
    <row r="109" spans="1:27" ht="22.5" customHeight="1" thickTop="1" thickBot="1" x14ac:dyDescent="0.3">
      <c r="A109" s="425">
        <v>1</v>
      </c>
      <c r="B109" s="505" t="s">
        <v>216</v>
      </c>
      <c r="C109" s="505" t="s">
        <v>216</v>
      </c>
      <c r="D109" s="505" t="s">
        <v>231</v>
      </c>
      <c r="E109" s="505" t="s">
        <v>243</v>
      </c>
      <c r="F109" s="505" t="s">
        <v>307</v>
      </c>
      <c r="G109" s="505" t="s">
        <v>220</v>
      </c>
      <c r="H109" s="505" t="s">
        <v>227</v>
      </c>
      <c r="I109" s="505"/>
      <c r="J109" s="505"/>
      <c r="K109" s="502" t="s">
        <v>343</v>
      </c>
      <c r="L109" s="427"/>
      <c r="M109" s="427"/>
      <c r="N109" s="427"/>
      <c r="O109" s="426">
        <f>+L109+M109-N109</f>
        <v>0</v>
      </c>
      <c r="P109" s="605"/>
      <c r="Q109" s="606"/>
      <c r="R109" s="607"/>
      <c r="S109" s="427"/>
      <c r="T109" s="427"/>
      <c r="U109" s="608"/>
      <c r="V109" s="737">
        <v>0</v>
      </c>
      <c r="W109" s="427"/>
      <c r="X109" s="522"/>
      <c r="Y109" s="522"/>
      <c r="Z109" s="738">
        <f t="shared" si="63"/>
        <v>0</v>
      </c>
      <c r="AA109" s="739">
        <f t="shared" si="64"/>
        <v>0</v>
      </c>
    </row>
    <row r="110" spans="1:27" ht="22.5" customHeight="1" thickTop="1" thickBot="1" x14ac:dyDescent="0.3">
      <c r="A110" s="425">
        <v>1</v>
      </c>
      <c r="B110" s="505" t="s">
        <v>216</v>
      </c>
      <c r="C110" s="505" t="s">
        <v>216</v>
      </c>
      <c r="D110" s="505" t="s">
        <v>231</v>
      </c>
      <c r="E110" s="505" t="s">
        <v>243</v>
      </c>
      <c r="F110" s="505" t="s">
        <v>307</v>
      </c>
      <c r="G110" s="505" t="s">
        <v>220</v>
      </c>
      <c r="H110" s="505" t="s">
        <v>229</v>
      </c>
      <c r="I110" s="505"/>
      <c r="J110" s="505"/>
      <c r="K110" s="502" t="s">
        <v>344</v>
      </c>
      <c r="L110" s="427"/>
      <c r="M110" s="427"/>
      <c r="N110" s="427"/>
      <c r="O110" s="426">
        <f>+L110+M110-N110</f>
        <v>0</v>
      </c>
      <c r="P110" s="605"/>
      <c r="Q110" s="606"/>
      <c r="R110" s="607"/>
      <c r="S110" s="427"/>
      <c r="T110" s="427"/>
      <c r="U110" s="608"/>
      <c r="V110" s="737">
        <v>0</v>
      </c>
      <c r="W110" s="427"/>
      <c r="X110" s="522"/>
      <c r="Y110" s="522"/>
      <c r="Z110" s="738">
        <f t="shared" si="63"/>
        <v>0</v>
      </c>
      <c r="AA110" s="739">
        <f t="shared" si="64"/>
        <v>0</v>
      </c>
    </row>
    <row r="111" spans="1:27" ht="22.5" customHeight="1" thickTop="1" thickBot="1" x14ac:dyDescent="0.3">
      <c r="A111" s="425">
        <v>1</v>
      </c>
      <c r="B111" s="505" t="s">
        <v>216</v>
      </c>
      <c r="C111" s="505" t="s">
        <v>216</v>
      </c>
      <c r="D111" s="505" t="s">
        <v>231</v>
      </c>
      <c r="E111" s="505" t="s">
        <v>243</v>
      </c>
      <c r="F111" s="505" t="s">
        <v>307</v>
      </c>
      <c r="G111" s="505" t="s">
        <v>231</v>
      </c>
      <c r="H111" s="505"/>
      <c r="I111" s="505"/>
      <c r="J111" s="505"/>
      <c r="K111" s="502" t="s">
        <v>345</v>
      </c>
      <c r="L111" s="427">
        <f>SUM(L112:L114)</f>
        <v>0</v>
      </c>
      <c r="M111" s="427">
        <f t="shared" ref="M111:U111" si="65">SUM(M112:M114)</f>
        <v>0</v>
      </c>
      <c r="N111" s="427">
        <f t="shared" si="65"/>
        <v>0</v>
      </c>
      <c r="O111" s="427">
        <f t="shared" si="65"/>
        <v>0</v>
      </c>
      <c r="P111" s="605">
        <f t="shared" si="65"/>
        <v>0</v>
      </c>
      <c r="Q111" s="606">
        <f t="shared" si="65"/>
        <v>0</v>
      </c>
      <c r="R111" s="607">
        <f t="shared" si="65"/>
        <v>0</v>
      </c>
      <c r="S111" s="427">
        <f t="shared" si="65"/>
        <v>0</v>
      </c>
      <c r="T111" s="427">
        <f t="shared" si="65"/>
        <v>0</v>
      </c>
      <c r="U111" s="608">
        <f t="shared" si="65"/>
        <v>0</v>
      </c>
      <c r="V111" s="427" t="e">
        <f t="shared" si="43"/>
        <v>#DIV/0!</v>
      </c>
      <c r="W111" s="427"/>
      <c r="X111" s="522"/>
      <c r="Y111" s="522"/>
    </row>
    <row r="112" spans="1:27" ht="22.5" customHeight="1" thickTop="1" thickBot="1" x14ac:dyDescent="0.3">
      <c r="A112" s="425">
        <v>1</v>
      </c>
      <c r="B112" s="505" t="s">
        <v>216</v>
      </c>
      <c r="C112" s="505" t="s">
        <v>216</v>
      </c>
      <c r="D112" s="505" t="s">
        <v>231</v>
      </c>
      <c r="E112" s="505" t="s">
        <v>243</v>
      </c>
      <c r="F112" s="505" t="s">
        <v>307</v>
      </c>
      <c r="G112" s="505" t="s">
        <v>231</v>
      </c>
      <c r="H112" s="505" t="s">
        <v>216</v>
      </c>
      <c r="I112" s="505"/>
      <c r="J112" s="505"/>
      <c r="K112" s="502" t="s">
        <v>346</v>
      </c>
      <c r="L112" s="427"/>
      <c r="M112" s="427"/>
      <c r="N112" s="427"/>
      <c r="O112" s="426">
        <f>+L112+M112-N112</f>
        <v>0</v>
      </c>
      <c r="P112" s="605"/>
      <c r="Q112" s="606"/>
      <c r="R112" s="607"/>
      <c r="S112" s="427"/>
      <c r="T112" s="427"/>
      <c r="U112" s="608"/>
      <c r="V112" s="737">
        <v>0</v>
      </c>
      <c r="W112" s="427"/>
      <c r="X112" s="522"/>
      <c r="Y112" s="522"/>
      <c r="Z112" s="738">
        <f t="shared" ref="Z112:Z114" si="66">SUBTOTAL(9,P112:S112)</f>
        <v>0</v>
      </c>
      <c r="AA112" s="739">
        <f t="shared" ref="AA112:AA114" si="67">+Z112-O112</f>
        <v>0</v>
      </c>
    </row>
    <row r="113" spans="1:27" ht="22.5" customHeight="1" thickTop="1" thickBot="1" x14ac:dyDescent="0.3">
      <c r="A113" s="425">
        <v>1</v>
      </c>
      <c r="B113" s="505" t="s">
        <v>216</v>
      </c>
      <c r="C113" s="505" t="s">
        <v>216</v>
      </c>
      <c r="D113" s="505" t="s">
        <v>231</v>
      </c>
      <c r="E113" s="505" t="s">
        <v>243</v>
      </c>
      <c r="F113" s="505" t="s">
        <v>307</v>
      </c>
      <c r="G113" s="505" t="s">
        <v>231</v>
      </c>
      <c r="H113" s="505" t="s">
        <v>227</v>
      </c>
      <c r="I113" s="505"/>
      <c r="J113" s="505"/>
      <c r="K113" s="502" t="s">
        <v>347</v>
      </c>
      <c r="L113" s="427"/>
      <c r="M113" s="427"/>
      <c r="N113" s="427"/>
      <c r="O113" s="426">
        <f>+L113+M113-N113</f>
        <v>0</v>
      </c>
      <c r="P113" s="605"/>
      <c r="Q113" s="606"/>
      <c r="R113" s="607"/>
      <c r="S113" s="427"/>
      <c r="T113" s="427"/>
      <c r="U113" s="608"/>
      <c r="V113" s="737">
        <v>0</v>
      </c>
      <c r="W113" s="427"/>
      <c r="X113" s="522"/>
      <c r="Y113" s="522"/>
      <c r="Z113" s="738">
        <f t="shared" si="66"/>
        <v>0</v>
      </c>
      <c r="AA113" s="739">
        <f t="shared" si="67"/>
        <v>0</v>
      </c>
    </row>
    <row r="114" spans="1:27" ht="22.5" customHeight="1" thickTop="1" thickBot="1" x14ac:dyDescent="0.3">
      <c r="A114" s="425">
        <v>1</v>
      </c>
      <c r="B114" s="505" t="s">
        <v>216</v>
      </c>
      <c r="C114" s="505" t="s">
        <v>216</v>
      </c>
      <c r="D114" s="505" t="s">
        <v>231</v>
      </c>
      <c r="E114" s="505" t="s">
        <v>243</v>
      </c>
      <c r="F114" s="505" t="s">
        <v>307</v>
      </c>
      <c r="G114" s="505" t="s">
        <v>231</v>
      </c>
      <c r="H114" s="505" t="s">
        <v>229</v>
      </c>
      <c r="I114" s="505"/>
      <c r="J114" s="505"/>
      <c r="K114" s="502" t="s">
        <v>348</v>
      </c>
      <c r="L114" s="427"/>
      <c r="M114" s="427"/>
      <c r="N114" s="427"/>
      <c r="O114" s="426">
        <f>+L114+M114-N114</f>
        <v>0</v>
      </c>
      <c r="P114" s="605"/>
      <c r="Q114" s="606"/>
      <c r="R114" s="607"/>
      <c r="S114" s="427"/>
      <c r="T114" s="427"/>
      <c r="U114" s="608"/>
      <c r="V114" s="737">
        <v>0</v>
      </c>
      <c r="W114" s="427"/>
      <c r="X114" s="522"/>
      <c r="Y114" s="522"/>
      <c r="Z114" s="738">
        <f t="shared" si="66"/>
        <v>0</v>
      </c>
      <c r="AA114" s="739">
        <f t="shared" si="67"/>
        <v>0</v>
      </c>
    </row>
    <row r="115" spans="1:27" ht="22.5" customHeight="1" thickTop="1" thickBot="1" x14ac:dyDescent="0.3">
      <c r="A115" s="425">
        <v>1</v>
      </c>
      <c r="B115" s="505" t="s">
        <v>216</v>
      </c>
      <c r="C115" s="505" t="s">
        <v>216</v>
      </c>
      <c r="D115" s="505" t="s">
        <v>231</v>
      </c>
      <c r="E115" s="505" t="s">
        <v>243</v>
      </c>
      <c r="F115" s="505" t="s">
        <v>307</v>
      </c>
      <c r="G115" s="505" t="s">
        <v>305</v>
      </c>
      <c r="H115" s="505"/>
      <c r="I115" s="505"/>
      <c r="J115" s="505"/>
      <c r="K115" s="502" t="s">
        <v>349</v>
      </c>
      <c r="L115" s="427">
        <f>SUM(L116:L118)</f>
        <v>0</v>
      </c>
      <c r="M115" s="427">
        <f t="shared" ref="M115:U115" si="68">SUM(M116:M118)</f>
        <v>0</v>
      </c>
      <c r="N115" s="427">
        <f t="shared" si="68"/>
        <v>0</v>
      </c>
      <c r="O115" s="427">
        <f>SUM(O116:O118)</f>
        <v>0</v>
      </c>
      <c r="P115" s="605">
        <f t="shared" si="68"/>
        <v>0</v>
      </c>
      <c r="Q115" s="606">
        <f t="shared" si="68"/>
        <v>0</v>
      </c>
      <c r="R115" s="607">
        <f t="shared" si="68"/>
        <v>0</v>
      </c>
      <c r="S115" s="427">
        <f t="shared" si="68"/>
        <v>0</v>
      </c>
      <c r="T115" s="427">
        <f t="shared" si="68"/>
        <v>0</v>
      </c>
      <c r="U115" s="608">
        <f t="shared" si="68"/>
        <v>0</v>
      </c>
      <c r="V115" s="427" t="e">
        <f t="shared" si="43"/>
        <v>#DIV/0!</v>
      </c>
      <c r="W115" s="427"/>
      <c r="X115" s="522"/>
      <c r="Y115" s="522"/>
    </row>
    <row r="116" spans="1:27" ht="22.5" customHeight="1" thickTop="1" thickBot="1" x14ac:dyDescent="0.3">
      <c r="A116" s="425">
        <v>1</v>
      </c>
      <c r="B116" s="505" t="s">
        <v>216</v>
      </c>
      <c r="C116" s="505" t="s">
        <v>216</v>
      </c>
      <c r="D116" s="505" t="s">
        <v>231</v>
      </c>
      <c r="E116" s="505" t="s">
        <v>243</v>
      </c>
      <c r="F116" s="505" t="s">
        <v>307</v>
      </c>
      <c r="G116" s="505" t="s">
        <v>305</v>
      </c>
      <c r="H116" s="505" t="s">
        <v>216</v>
      </c>
      <c r="I116" s="505"/>
      <c r="J116" s="505"/>
      <c r="K116" s="502" t="s">
        <v>350</v>
      </c>
      <c r="L116" s="427"/>
      <c r="M116" s="427"/>
      <c r="N116" s="427"/>
      <c r="O116" s="426">
        <f>+L116+M116-N116</f>
        <v>0</v>
      </c>
      <c r="P116" s="605"/>
      <c r="Q116" s="606"/>
      <c r="R116" s="607"/>
      <c r="S116" s="427"/>
      <c r="T116" s="427"/>
      <c r="U116" s="608"/>
      <c r="V116" s="737">
        <v>0</v>
      </c>
      <c r="W116" s="427"/>
      <c r="X116" s="522"/>
      <c r="Y116" s="522"/>
      <c r="Z116" s="738">
        <f t="shared" ref="Z116:Z118" si="69">SUBTOTAL(9,P116:S116)</f>
        <v>0</v>
      </c>
      <c r="AA116" s="739">
        <f t="shared" ref="AA116:AA118" si="70">+Z116-O116</f>
        <v>0</v>
      </c>
    </row>
    <row r="117" spans="1:27" ht="22.5" customHeight="1" thickTop="1" thickBot="1" x14ac:dyDescent="0.3">
      <c r="A117" s="425">
        <v>1</v>
      </c>
      <c r="B117" s="505" t="s">
        <v>216</v>
      </c>
      <c r="C117" s="505" t="s">
        <v>216</v>
      </c>
      <c r="D117" s="505" t="s">
        <v>231</v>
      </c>
      <c r="E117" s="505" t="s">
        <v>243</v>
      </c>
      <c r="F117" s="505" t="s">
        <v>307</v>
      </c>
      <c r="G117" s="505" t="s">
        <v>305</v>
      </c>
      <c r="H117" s="505" t="s">
        <v>227</v>
      </c>
      <c r="I117" s="505"/>
      <c r="J117" s="505"/>
      <c r="K117" s="502" t="s">
        <v>351</v>
      </c>
      <c r="L117" s="427"/>
      <c r="M117" s="427"/>
      <c r="N117" s="427"/>
      <c r="O117" s="426">
        <f>+L117+M117-N117</f>
        <v>0</v>
      </c>
      <c r="P117" s="605"/>
      <c r="Q117" s="606"/>
      <c r="R117" s="607"/>
      <c r="S117" s="427"/>
      <c r="T117" s="427"/>
      <c r="U117" s="608"/>
      <c r="V117" s="737">
        <v>0</v>
      </c>
      <c r="W117" s="427"/>
      <c r="X117" s="522"/>
      <c r="Y117" s="522"/>
      <c r="Z117" s="738">
        <f t="shared" si="69"/>
        <v>0</v>
      </c>
      <c r="AA117" s="739">
        <f t="shared" si="70"/>
        <v>0</v>
      </c>
    </row>
    <row r="118" spans="1:27" ht="22.5" customHeight="1" thickTop="1" thickBot="1" x14ac:dyDescent="0.3">
      <c r="A118" s="425">
        <v>1</v>
      </c>
      <c r="B118" s="505" t="s">
        <v>216</v>
      </c>
      <c r="C118" s="505" t="s">
        <v>216</v>
      </c>
      <c r="D118" s="505" t="s">
        <v>231</v>
      </c>
      <c r="E118" s="505" t="s">
        <v>243</v>
      </c>
      <c r="F118" s="505" t="s">
        <v>307</v>
      </c>
      <c r="G118" s="505" t="s">
        <v>305</v>
      </c>
      <c r="H118" s="505" t="s">
        <v>229</v>
      </c>
      <c r="I118" s="505"/>
      <c r="J118" s="505"/>
      <c r="K118" s="502" t="s">
        <v>352</v>
      </c>
      <c r="L118" s="427"/>
      <c r="M118" s="427"/>
      <c r="N118" s="427"/>
      <c r="O118" s="426">
        <f>+L118+M118-N118</f>
        <v>0</v>
      </c>
      <c r="P118" s="605"/>
      <c r="Q118" s="606"/>
      <c r="R118" s="607"/>
      <c r="S118" s="427"/>
      <c r="T118" s="427"/>
      <c r="U118" s="608"/>
      <c r="V118" s="737">
        <v>0</v>
      </c>
      <c r="W118" s="427"/>
      <c r="X118" s="522"/>
      <c r="Y118" s="522"/>
      <c r="Z118" s="738">
        <f t="shared" si="69"/>
        <v>0</v>
      </c>
      <c r="AA118" s="739">
        <f t="shared" si="70"/>
        <v>0</v>
      </c>
    </row>
    <row r="119" spans="1:27" ht="22.5" customHeight="1" thickTop="1" thickBot="1" x14ac:dyDescent="0.3">
      <c r="A119" s="425">
        <v>1</v>
      </c>
      <c r="B119" s="505" t="s">
        <v>216</v>
      </c>
      <c r="C119" s="505" t="s">
        <v>216</v>
      </c>
      <c r="D119" s="505" t="s">
        <v>231</v>
      </c>
      <c r="E119" s="505" t="s">
        <v>243</v>
      </c>
      <c r="F119" s="505" t="s">
        <v>307</v>
      </c>
      <c r="G119" s="505" t="s">
        <v>313</v>
      </c>
      <c r="H119" s="505"/>
      <c r="I119" s="505"/>
      <c r="J119" s="505"/>
      <c r="K119" s="502" t="s">
        <v>353</v>
      </c>
      <c r="L119" s="427">
        <f>SUM(L120)</f>
        <v>0</v>
      </c>
      <c r="M119" s="427">
        <f t="shared" ref="M119:U119" si="71">SUM(M120)</f>
        <v>0</v>
      </c>
      <c r="N119" s="427">
        <f t="shared" si="71"/>
        <v>0</v>
      </c>
      <c r="O119" s="427">
        <f t="shared" si="71"/>
        <v>0</v>
      </c>
      <c r="P119" s="605">
        <f t="shared" si="71"/>
        <v>0</v>
      </c>
      <c r="Q119" s="606">
        <f t="shared" si="71"/>
        <v>0</v>
      </c>
      <c r="R119" s="607">
        <f t="shared" si="71"/>
        <v>0</v>
      </c>
      <c r="S119" s="427">
        <f t="shared" si="71"/>
        <v>0</v>
      </c>
      <c r="T119" s="427">
        <f t="shared" si="71"/>
        <v>0</v>
      </c>
      <c r="U119" s="608">
        <f t="shared" si="71"/>
        <v>0</v>
      </c>
      <c r="V119" s="427" t="e">
        <f t="shared" si="43"/>
        <v>#DIV/0!</v>
      </c>
      <c r="W119" s="427"/>
      <c r="X119" s="522"/>
      <c r="Y119" s="522"/>
    </row>
    <row r="120" spans="1:27" ht="22.5" customHeight="1" thickTop="1" thickBot="1" x14ac:dyDescent="0.3">
      <c r="A120" s="425">
        <v>1</v>
      </c>
      <c r="B120" s="505" t="s">
        <v>216</v>
      </c>
      <c r="C120" s="505" t="s">
        <v>216</v>
      </c>
      <c r="D120" s="505" t="s">
        <v>231</v>
      </c>
      <c r="E120" s="505" t="s">
        <v>243</v>
      </c>
      <c r="F120" s="505" t="s">
        <v>307</v>
      </c>
      <c r="G120" s="505" t="s">
        <v>313</v>
      </c>
      <c r="H120" s="505" t="s">
        <v>216</v>
      </c>
      <c r="I120" s="505"/>
      <c r="J120" s="505"/>
      <c r="K120" s="502" t="s">
        <v>354</v>
      </c>
      <c r="L120" s="427"/>
      <c r="M120" s="427"/>
      <c r="N120" s="427"/>
      <c r="O120" s="426">
        <f>+L120+M120-N120</f>
        <v>0</v>
      </c>
      <c r="P120" s="605"/>
      <c r="Q120" s="606"/>
      <c r="R120" s="607"/>
      <c r="S120" s="427"/>
      <c r="T120" s="427"/>
      <c r="U120" s="608"/>
      <c r="V120" s="737">
        <v>0</v>
      </c>
      <c r="W120" s="427"/>
      <c r="X120" s="522"/>
      <c r="Y120" s="522"/>
      <c r="Z120" s="738">
        <f t="shared" ref="Z120:Z122" si="72">SUBTOTAL(9,P120:S120)</f>
        <v>0</v>
      </c>
      <c r="AA120" s="739">
        <f t="shared" ref="AA120:AA122" si="73">+Z120-O120</f>
        <v>0</v>
      </c>
    </row>
    <row r="121" spans="1:27" ht="22.5" customHeight="1" thickTop="1" thickBot="1" x14ac:dyDescent="0.3">
      <c r="A121" s="425">
        <v>1</v>
      </c>
      <c r="B121" s="505" t="s">
        <v>216</v>
      </c>
      <c r="C121" s="505" t="s">
        <v>216</v>
      </c>
      <c r="D121" s="505" t="s">
        <v>231</v>
      </c>
      <c r="E121" s="505" t="s">
        <v>243</v>
      </c>
      <c r="F121" s="505" t="s">
        <v>307</v>
      </c>
      <c r="G121" s="505" t="s">
        <v>313</v>
      </c>
      <c r="H121" s="505" t="s">
        <v>227</v>
      </c>
      <c r="I121" s="505"/>
      <c r="J121" s="505"/>
      <c r="K121" s="502" t="s">
        <v>355</v>
      </c>
      <c r="L121" s="427"/>
      <c r="M121" s="427"/>
      <c r="N121" s="427"/>
      <c r="O121" s="426">
        <f>+L121+M121-N121</f>
        <v>0</v>
      </c>
      <c r="P121" s="605"/>
      <c r="Q121" s="606"/>
      <c r="R121" s="607"/>
      <c r="S121" s="427"/>
      <c r="T121" s="427"/>
      <c r="U121" s="608"/>
      <c r="V121" s="737">
        <v>0</v>
      </c>
      <c r="W121" s="427"/>
      <c r="X121" s="522"/>
      <c r="Y121" s="522"/>
      <c r="Z121" s="738">
        <f t="shared" si="72"/>
        <v>0</v>
      </c>
      <c r="AA121" s="739">
        <f t="shared" si="73"/>
        <v>0</v>
      </c>
    </row>
    <row r="122" spans="1:27" ht="22.5" customHeight="1" thickTop="1" thickBot="1" x14ac:dyDescent="0.3">
      <c r="A122" s="425">
        <v>1</v>
      </c>
      <c r="B122" s="505" t="s">
        <v>216</v>
      </c>
      <c r="C122" s="505" t="s">
        <v>216</v>
      </c>
      <c r="D122" s="505" t="s">
        <v>231</v>
      </c>
      <c r="E122" s="505" t="s">
        <v>243</v>
      </c>
      <c r="F122" s="505" t="s">
        <v>307</v>
      </c>
      <c r="G122" s="505" t="s">
        <v>313</v>
      </c>
      <c r="H122" s="505" t="s">
        <v>229</v>
      </c>
      <c r="I122" s="505"/>
      <c r="J122" s="505"/>
      <c r="K122" s="502" t="s">
        <v>356</v>
      </c>
      <c r="L122" s="427"/>
      <c r="M122" s="427"/>
      <c r="N122" s="427"/>
      <c r="O122" s="426">
        <f>+L122+M122-N122</f>
        <v>0</v>
      </c>
      <c r="P122" s="605"/>
      <c r="Q122" s="606"/>
      <c r="R122" s="607"/>
      <c r="S122" s="427"/>
      <c r="T122" s="427"/>
      <c r="U122" s="608"/>
      <c r="V122" s="737">
        <v>0</v>
      </c>
      <c r="W122" s="427"/>
      <c r="X122" s="522"/>
      <c r="Y122" s="522"/>
      <c r="Z122" s="738">
        <f t="shared" si="72"/>
        <v>0</v>
      </c>
      <c r="AA122" s="739">
        <f t="shared" si="73"/>
        <v>0</v>
      </c>
    </row>
    <row r="123" spans="1:27" ht="22.5" customHeight="1" thickTop="1" thickBot="1" x14ac:dyDescent="0.3">
      <c r="A123" s="425">
        <v>1</v>
      </c>
      <c r="B123" s="505" t="s">
        <v>216</v>
      </c>
      <c r="C123" s="505" t="s">
        <v>216</v>
      </c>
      <c r="D123" s="505" t="s">
        <v>231</v>
      </c>
      <c r="E123" s="505" t="s">
        <v>243</v>
      </c>
      <c r="F123" s="505" t="s">
        <v>307</v>
      </c>
      <c r="G123" s="505" t="s">
        <v>243</v>
      </c>
      <c r="H123" s="505"/>
      <c r="I123" s="505"/>
      <c r="J123" s="505"/>
      <c r="K123" s="502" t="s">
        <v>357</v>
      </c>
      <c r="L123" s="427">
        <f>SUM(L124:L126)</f>
        <v>0</v>
      </c>
      <c r="M123" s="427">
        <f t="shared" ref="M123:U123" si="74">SUM(M124:M126)</f>
        <v>0</v>
      </c>
      <c r="N123" s="427">
        <f t="shared" si="74"/>
        <v>0</v>
      </c>
      <c r="O123" s="427">
        <f t="shared" si="74"/>
        <v>0</v>
      </c>
      <c r="P123" s="605">
        <f t="shared" si="74"/>
        <v>0</v>
      </c>
      <c r="Q123" s="606">
        <f t="shared" si="74"/>
        <v>0</v>
      </c>
      <c r="R123" s="607">
        <f t="shared" si="74"/>
        <v>0</v>
      </c>
      <c r="S123" s="427">
        <f t="shared" si="74"/>
        <v>0</v>
      </c>
      <c r="T123" s="427">
        <f t="shared" si="74"/>
        <v>0</v>
      </c>
      <c r="U123" s="608">
        <f t="shared" si="74"/>
        <v>0</v>
      </c>
      <c r="V123" s="427" t="e">
        <f t="shared" si="43"/>
        <v>#DIV/0!</v>
      </c>
      <c r="W123" s="427"/>
      <c r="X123" s="522"/>
      <c r="Y123" s="522"/>
    </row>
    <row r="124" spans="1:27" ht="22.5" customHeight="1" thickTop="1" thickBot="1" x14ac:dyDescent="0.3">
      <c r="A124" s="425">
        <v>1</v>
      </c>
      <c r="B124" s="505" t="s">
        <v>216</v>
      </c>
      <c r="C124" s="505" t="s">
        <v>216</v>
      </c>
      <c r="D124" s="505" t="s">
        <v>231</v>
      </c>
      <c r="E124" s="505" t="s">
        <v>243</v>
      </c>
      <c r="F124" s="505" t="s">
        <v>307</v>
      </c>
      <c r="G124" s="505" t="s">
        <v>243</v>
      </c>
      <c r="H124" s="505" t="s">
        <v>216</v>
      </c>
      <c r="I124" s="505"/>
      <c r="J124" s="505"/>
      <c r="K124" s="502" t="s">
        <v>358</v>
      </c>
      <c r="L124" s="427"/>
      <c r="M124" s="427"/>
      <c r="N124" s="427"/>
      <c r="O124" s="426">
        <f>+L124+M124-N124</f>
        <v>0</v>
      </c>
      <c r="P124" s="605"/>
      <c r="Q124" s="606"/>
      <c r="R124" s="607"/>
      <c r="S124" s="427"/>
      <c r="T124" s="427"/>
      <c r="U124" s="608"/>
      <c r="V124" s="737">
        <v>0</v>
      </c>
      <c r="W124" s="427"/>
      <c r="X124" s="522"/>
      <c r="Y124" s="522"/>
      <c r="Z124" s="738">
        <f t="shared" ref="Z124:Z126" si="75">SUBTOTAL(9,P124:S124)</f>
        <v>0</v>
      </c>
      <c r="AA124" s="739">
        <f t="shared" ref="AA124:AA126" si="76">+Z124-O124</f>
        <v>0</v>
      </c>
    </row>
    <row r="125" spans="1:27" ht="22.5" customHeight="1" thickTop="1" thickBot="1" x14ac:dyDescent="0.3">
      <c r="A125" s="425">
        <v>1</v>
      </c>
      <c r="B125" s="505" t="s">
        <v>216</v>
      </c>
      <c r="C125" s="505" t="s">
        <v>216</v>
      </c>
      <c r="D125" s="505" t="s">
        <v>231</v>
      </c>
      <c r="E125" s="505" t="s">
        <v>243</v>
      </c>
      <c r="F125" s="505" t="s">
        <v>307</v>
      </c>
      <c r="G125" s="505" t="s">
        <v>243</v>
      </c>
      <c r="H125" s="505" t="s">
        <v>227</v>
      </c>
      <c r="I125" s="505"/>
      <c r="J125" s="505"/>
      <c r="K125" s="502" t="s">
        <v>359</v>
      </c>
      <c r="L125" s="427"/>
      <c r="M125" s="427"/>
      <c r="N125" s="427"/>
      <c r="O125" s="426">
        <f>+L125+M125-N125</f>
        <v>0</v>
      </c>
      <c r="P125" s="605"/>
      <c r="Q125" s="606"/>
      <c r="R125" s="607"/>
      <c r="S125" s="427"/>
      <c r="T125" s="427"/>
      <c r="U125" s="608"/>
      <c r="V125" s="737">
        <v>0</v>
      </c>
      <c r="W125" s="427"/>
      <c r="X125" s="522"/>
      <c r="Y125" s="522"/>
      <c r="Z125" s="738">
        <f t="shared" si="75"/>
        <v>0</v>
      </c>
      <c r="AA125" s="739">
        <f t="shared" si="76"/>
        <v>0</v>
      </c>
    </row>
    <row r="126" spans="1:27" ht="22.5" customHeight="1" thickTop="1" thickBot="1" x14ac:dyDescent="0.3">
      <c r="A126" s="425">
        <v>1</v>
      </c>
      <c r="B126" s="505" t="s">
        <v>216</v>
      </c>
      <c r="C126" s="505" t="s">
        <v>216</v>
      </c>
      <c r="D126" s="505" t="s">
        <v>231</v>
      </c>
      <c r="E126" s="505" t="s">
        <v>243</v>
      </c>
      <c r="F126" s="505" t="s">
        <v>307</v>
      </c>
      <c r="G126" s="505" t="s">
        <v>243</v>
      </c>
      <c r="H126" s="505" t="s">
        <v>229</v>
      </c>
      <c r="I126" s="505"/>
      <c r="J126" s="505"/>
      <c r="K126" s="502" t="s">
        <v>360</v>
      </c>
      <c r="L126" s="427"/>
      <c r="M126" s="427"/>
      <c r="N126" s="427"/>
      <c r="O126" s="426">
        <f>+L126+M126-N126</f>
        <v>0</v>
      </c>
      <c r="P126" s="605"/>
      <c r="Q126" s="606"/>
      <c r="R126" s="607"/>
      <c r="S126" s="427"/>
      <c r="T126" s="427"/>
      <c r="U126" s="608"/>
      <c r="V126" s="737">
        <v>0</v>
      </c>
      <c r="W126" s="427"/>
      <c r="X126" s="522"/>
      <c r="Y126" s="522"/>
      <c r="Z126" s="738">
        <f t="shared" si="75"/>
        <v>0</v>
      </c>
      <c r="AA126" s="739">
        <f t="shared" si="76"/>
        <v>0</v>
      </c>
    </row>
    <row r="127" spans="1:27" ht="22.5" customHeight="1" thickTop="1" thickBot="1" x14ac:dyDescent="0.3">
      <c r="A127" s="425">
        <v>1</v>
      </c>
      <c r="B127" s="505" t="s">
        <v>216</v>
      </c>
      <c r="C127" s="505" t="s">
        <v>216</v>
      </c>
      <c r="D127" s="505" t="s">
        <v>231</v>
      </c>
      <c r="E127" s="505" t="s">
        <v>243</v>
      </c>
      <c r="F127" s="505" t="s">
        <v>307</v>
      </c>
      <c r="G127" s="505" t="s">
        <v>361</v>
      </c>
      <c r="H127" s="505"/>
      <c r="I127" s="505"/>
      <c r="J127" s="505"/>
      <c r="K127" s="502" t="s">
        <v>362</v>
      </c>
      <c r="L127" s="427">
        <f>SUM(L128:L130)</f>
        <v>0</v>
      </c>
      <c r="M127" s="427">
        <f t="shared" ref="M127:U127" si="77">SUM(M128:M130)</f>
        <v>0</v>
      </c>
      <c r="N127" s="427">
        <f t="shared" si="77"/>
        <v>0</v>
      </c>
      <c r="O127" s="427">
        <f t="shared" si="77"/>
        <v>0</v>
      </c>
      <c r="P127" s="605">
        <f t="shared" si="77"/>
        <v>0</v>
      </c>
      <c r="Q127" s="606">
        <f t="shared" si="77"/>
        <v>0</v>
      </c>
      <c r="R127" s="607">
        <f t="shared" si="77"/>
        <v>0</v>
      </c>
      <c r="S127" s="427">
        <f t="shared" si="77"/>
        <v>0</v>
      </c>
      <c r="T127" s="427">
        <f t="shared" si="77"/>
        <v>0</v>
      </c>
      <c r="U127" s="608">
        <f t="shared" si="77"/>
        <v>0</v>
      </c>
      <c r="V127" s="427" t="e">
        <f t="shared" si="43"/>
        <v>#DIV/0!</v>
      </c>
      <c r="W127" s="427"/>
      <c r="X127" s="522"/>
      <c r="Y127" s="522"/>
    </row>
    <row r="128" spans="1:27" ht="36.75" customHeight="1" thickTop="1" thickBot="1" x14ac:dyDescent="0.3">
      <c r="A128" s="425">
        <v>1</v>
      </c>
      <c r="B128" s="505" t="s">
        <v>216</v>
      </c>
      <c r="C128" s="505" t="s">
        <v>216</v>
      </c>
      <c r="D128" s="505" t="s">
        <v>231</v>
      </c>
      <c r="E128" s="505" t="s">
        <v>243</v>
      </c>
      <c r="F128" s="505" t="s">
        <v>307</v>
      </c>
      <c r="G128" s="505" t="s">
        <v>361</v>
      </c>
      <c r="H128" s="505" t="s">
        <v>216</v>
      </c>
      <c r="I128" s="505"/>
      <c r="J128" s="505"/>
      <c r="K128" s="609" t="s">
        <v>363</v>
      </c>
      <c r="L128" s="610"/>
      <c r="M128" s="610"/>
      <c r="N128" s="610"/>
      <c r="O128" s="426">
        <f>+L128+M128-N128</f>
        <v>0</v>
      </c>
      <c r="P128" s="605"/>
      <c r="Q128" s="606"/>
      <c r="R128" s="607"/>
      <c r="S128" s="427"/>
      <c r="T128" s="427"/>
      <c r="U128" s="608"/>
      <c r="V128" s="737">
        <v>0</v>
      </c>
      <c r="W128" s="427"/>
      <c r="X128" s="522"/>
      <c r="Y128" s="522"/>
      <c r="Z128" s="738">
        <f t="shared" ref="Z128:Z130" si="78">SUBTOTAL(9,P128:S128)</f>
        <v>0</v>
      </c>
      <c r="AA128" s="739">
        <f t="shared" ref="AA128:AA130" si="79">+Z128-O128</f>
        <v>0</v>
      </c>
    </row>
    <row r="129" spans="1:27" ht="46.5" customHeight="1" thickTop="1" thickBot="1" x14ac:dyDescent="0.3">
      <c r="A129" s="425">
        <v>1</v>
      </c>
      <c r="B129" s="505" t="s">
        <v>216</v>
      </c>
      <c r="C129" s="505" t="s">
        <v>216</v>
      </c>
      <c r="D129" s="505" t="s">
        <v>231</v>
      </c>
      <c r="E129" s="505" t="s">
        <v>243</v>
      </c>
      <c r="F129" s="505" t="s">
        <v>307</v>
      </c>
      <c r="G129" s="505" t="s">
        <v>361</v>
      </c>
      <c r="H129" s="505" t="s">
        <v>227</v>
      </c>
      <c r="I129" s="505"/>
      <c r="J129" s="505"/>
      <c r="K129" s="609" t="s">
        <v>364</v>
      </c>
      <c r="L129" s="610"/>
      <c r="M129" s="610"/>
      <c r="N129" s="610"/>
      <c r="O129" s="426">
        <f>+L129+M129-N129</f>
        <v>0</v>
      </c>
      <c r="P129" s="605"/>
      <c r="Q129" s="606"/>
      <c r="R129" s="607"/>
      <c r="S129" s="427"/>
      <c r="T129" s="427"/>
      <c r="U129" s="608"/>
      <c r="V129" s="737">
        <v>0</v>
      </c>
      <c r="W129" s="427"/>
      <c r="X129" s="522"/>
      <c r="Y129" s="522"/>
      <c r="Z129" s="738">
        <f t="shared" si="78"/>
        <v>0</v>
      </c>
      <c r="AA129" s="739">
        <f t="shared" si="79"/>
        <v>0</v>
      </c>
    </row>
    <row r="130" spans="1:27" ht="30" customHeight="1" thickTop="1" thickBot="1" x14ac:dyDescent="0.3">
      <c r="A130" s="425">
        <v>1</v>
      </c>
      <c r="B130" s="505" t="s">
        <v>216</v>
      </c>
      <c r="C130" s="505" t="s">
        <v>216</v>
      </c>
      <c r="D130" s="505" t="s">
        <v>231</v>
      </c>
      <c r="E130" s="505" t="s">
        <v>243</v>
      </c>
      <c r="F130" s="505" t="s">
        <v>307</v>
      </c>
      <c r="G130" s="505" t="s">
        <v>361</v>
      </c>
      <c r="H130" s="505" t="s">
        <v>229</v>
      </c>
      <c r="I130" s="505"/>
      <c r="J130" s="505"/>
      <c r="K130" s="609" t="s">
        <v>365</v>
      </c>
      <c r="L130" s="610"/>
      <c r="M130" s="610"/>
      <c r="N130" s="610"/>
      <c r="O130" s="426">
        <f>+L130+M130-N130</f>
        <v>0</v>
      </c>
      <c r="P130" s="605"/>
      <c r="Q130" s="606"/>
      <c r="R130" s="607"/>
      <c r="S130" s="427"/>
      <c r="T130" s="427"/>
      <c r="U130" s="608"/>
      <c r="V130" s="737">
        <v>0</v>
      </c>
      <c r="W130" s="427"/>
      <c r="X130" s="522"/>
      <c r="Y130" s="522"/>
      <c r="Z130" s="738">
        <f t="shared" si="78"/>
        <v>0</v>
      </c>
      <c r="AA130" s="739">
        <f t="shared" si="79"/>
        <v>0</v>
      </c>
    </row>
    <row r="131" spans="1:27" ht="22.5" customHeight="1" thickTop="1" thickBot="1" x14ac:dyDescent="0.3">
      <c r="A131" s="425">
        <v>1</v>
      </c>
      <c r="B131" s="505" t="s">
        <v>216</v>
      </c>
      <c r="C131" s="505" t="s">
        <v>216</v>
      </c>
      <c r="D131" s="505" t="s">
        <v>231</v>
      </c>
      <c r="E131" s="505" t="s">
        <v>243</v>
      </c>
      <c r="F131" s="505" t="s">
        <v>307</v>
      </c>
      <c r="G131" s="505" t="s">
        <v>366</v>
      </c>
      <c r="H131" s="505"/>
      <c r="I131" s="505"/>
      <c r="J131" s="505"/>
      <c r="K131" s="502" t="s">
        <v>367</v>
      </c>
      <c r="L131" s="427">
        <f>SUM(L132:L134)</f>
        <v>0</v>
      </c>
      <c r="M131" s="427">
        <f t="shared" ref="M131:U131" si="80">SUM(M132:M134)</f>
        <v>0</v>
      </c>
      <c r="N131" s="427">
        <f t="shared" si="80"/>
        <v>0</v>
      </c>
      <c r="O131" s="427">
        <f t="shared" si="80"/>
        <v>0</v>
      </c>
      <c r="P131" s="605">
        <f t="shared" si="80"/>
        <v>0</v>
      </c>
      <c r="Q131" s="606">
        <f t="shared" si="80"/>
        <v>0</v>
      </c>
      <c r="R131" s="607">
        <f t="shared" si="80"/>
        <v>0</v>
      </c>
      <c r="S131" s="427">
        <f t="shared" si="80"/>
        <v>0</v>
      </c>
      <c r="T131" s="427">
        <f t="shared" si="80"/>
        <v>0</v>
      </c>
      <c r="U131" s="608">
        <f t="shared" si="80"/>
        <v>0</v>
      </c>
      <c r="V131" s="427" t="e">
        <f t="shared" si="43"/>
        <v>#DIV/0!</v>
      </c>
      <c r="W131" s="427"/>
      <c r="X131" s="522"/>
      <c r="Y131" s="522"/>
    </row>
    <row r="132" spans="1:27" ht="22.5" customHeight="1" thickTop="1" thickBot="1" x14ac:dyDescent="0.3">
      <c r="A132" s="425">
        <v>1</v>
      </c>
      <c r="B132" s="505" t="s">
        <v>216</v>
      </c>
      <c r="C132" s="505" t="s">
        <v>216</v>
      </c>
      <c r="D132" s="505" t="s">
        <v>231</v>
      </c>
      <c r="E132" s="505" t="s">
        <v>243</v>
      </c>
      <c r="F132" s="505" t="s">
        <v>307</v>
      </c>
      <c r="G132" s="505" t="s">
        <v>366</v>
      </c>
      <c r="H132" s="505" t="s">
        <v>216</v>
      </c>
      <c r="I132" s="505"/>
      <c r="J132" s="505"/>
      <c r="K132" s="502" t="s">
        <v>368</v>
      </c>
      <c r="L132" s="427"/>
      <c r="M132" s="427"/>
      <c r="N132" s="427"/>
      <c r="O132" s="426">
        <f>+L132+M132-N132</f>
        <v>0</v>
      </c>
      <c r="P132" s="605"/>
      <c r="Q132" s="606"/>
      <c r="R132" s="607"/>
      <c r="S132" s="427"/>
      <c r="T132" s="427"/>
      <c r="U132" s="608"/>
      <c r="V132" s="737">
        <v>0</v>
      </c>
      <c r="W132" s="427"/>
      <c r="X132" s="522"/>
      <c r="Y132" s="522"/>
      <c r="Z132" s="738">
        <f t="shared" ref="Z132:Z134" si="81">SUBTOTAL(9,P132:S132)</f>
        <v>0</v>
      </c>
      <c r="AA132" s="739">
        <f t="shared" ref="AA132:AA134" si="82">+Z132-O132</f>
        <v>0</v>
      </c>
    </row>
    <row r="133" spans="1:27" ht="22.5" customHeight="1" thickTop="1" thickBot="1" x14ac:dyDescent="0.3">
      <c r="A133" s="425">
        <v>1</v>
      </c>
      <c r="B133" s="505" t="s">
        <v>216</v>
      </c>
      <c r="C133" s="505" t="s">
        <v>216</v>
      </c>
      <c r="D133" s="505" t="s">
        <v>231</v>
      </c>
      <c r="E133" s="505" t="s">
        <v>243</v>
      </c>
      <c r="F133" s="505" t="s">
        <v>307</v>
      </c>
      <c r="G133" s="505" t="s">
        <v>366</v>
      </c>
      <c r="H133" s="505" t="s">
        <v>227</v>
      </c>
      <c r="I133" s="505"/>
      <c r="J133" s="505"/>
      <c r="K133" s="502" t="s">
        <v>369</v>
      </c>
      <c r="L133" s="427"/>
      <c r="M133" s="427"/>
      <c r="N133" s="427"/>
      <c r="O133" s="426">
        <f>+L133+M133-N133</f>
        <v>0</v>
      </c>
      <c r="P133" s="605"/>
      <c r="Q133" s="606"/>
      <c r="R133" s="607"/>
      <c r="S133" s="427"/>
      <c r="T133" s="427"/>
      <c r="U133" s="608"/>
      <c r="V133" s="737">
        <v>0</v>
      </c>
      <c r="W133" s="427"/>
      <c r="X133" s="522"/>
      <c r="Y133" s="522"/>
      <c r="Z133" s="738">
        <f t="shared" si="81"/>
        <v>0</v>
      </c>
      <c r="AA133" s="739">
        <f t="shared" si="82"/>
        <v>0</v>
      </c>
    </row>
    <row r="134" spans="1:27" ht="22.5" customHeight="1" thickTop="1" thickBot="1" x14ac:dyDescent="0.3">
      <c r="A134" s="425">
        <v>1</v>
      </c>
      <c r="B134" s="505" t="s">
        <v>216</v>
      </c>
      <c r="C134" s="505" t="s">
        <v>216</v>
      </c>
      <c r="D134" s="505" t="s">
        <v>231</v>
      </c>
      <c r="E134" s="505" t="s">
        <v>243</v>
      </c>
      <c r="F134" s="505" t="s">
        <v>307</v>
      </c>
      <c r="G134" s="505" t="s">
        <v>366</v>
      </c>
      <c r="H134" s="505" t="s">
        <v>229</v>
      </c>
      <c r="I134" s="505"/>
      <c r="J134" s="505"/>
      <c r="K134" s="502" t="s">
        <v>370</v>
      </c>
      <c r="L134" s="427"/>
      <c r="M134" s="427"/>
      <c r="N134" s="427"/>
      <c r="O134" s="426">
        <f>+L134+M134-N134</f>
        <v>0</v>
      </c>
      <c r="P134" s="605"/>
      <c r="Q134" s="606"/>
      <c r="R134" s="607"/>
      <c r="S134" s="427"/>
      <c r="T134" s="427"/>
      <c r="U134" s="608"/>
      <c r="V134" s="737">
        <v>0</v>
      </c>
      <c r="W134" s="427"/>
      <c r="X134" s="522"/>
      <c r="Y134" s="522"/>
      <c r="Z134" s="738">
        <f t="shared" si="81"/>
        <v>0</v>
      </c>
      <c r="AA134" s="739">
        <f t="shared" si="82"/>
        <v>0</v>
      </c>
    </row>
    <row r="135" spans="1:27" ht="27" customHeight="1" thickTop="1" thickBot="1" x14ac:dyDescent="0.3">
      <c r="A135" s="425">
        <v>1</v>
      </c>
      <c r="B135" s="505" t="s">
        <v>216</v>
      </c>
      <c r="C135" s="505" t="s">
        <v>216</v>
      </c>
      <c r="D135" s="505" t="s">
        <v>231</v>
      </c>
      <c r="E135" s="505" t="s">
        <v>243</v>
      </c>
      <c r="F135" s="505" t="s">
        <v>307</v>
      </c>
      <c r="G135" s="505" t="s">
        <v>371</v>
      </c>
      <c r="H135" s="505"/>
      <c r="I135" s="505"/>
      <c r="J135" s="505"/>
      <c r="K135" s="502" t="s">
        <v>372</v>
      </c>
      <c r="L135" s="427">
        <f>SUM(L136:L138)</f>
        <v>216000000</v>
      </c>
      <c r="M135" s="427">
        <f t="shared" ref="M135:U135" si="83">SUM(M136:M138)</f>
        <v>0</v>
      </c>
      <c r="N135" s="427">
        <f t="shared" si="83"/>
        <v>0</v>
      </c>
      <c r="O135" s="744">
        <f t="shared" si="83"/>
        <v>216000000</v>
      </c>
      <c r="P135" s="605">
        <f t="shared" si="83"/>
        <v>21600000</v>
      </c>
      <c r="Q135" s="606">
        <f t="shared" si="83"/>
        <v>172800000</v>
      </c>
      <c r="R135" s="607">
        <f t="shared" si="83"/>
        <v>21600000</v>
      </c>
      <c r="S135" s="427">
        <f t="shared" si="83"/>
        <v>0</v>
      </c>
      <c r="T135" s="427">
        <f t="shared" si="83"/>
        <v>0</v>
      </c>
      <c r="U135" s="608">
        <f t="shared" si="83"/>
        <v>172997851</v>
      </c>
      <c r="V135" s="427" t="e">
        <f t="shared" si="43"/>
        <v>#DIV/0!</v>
      </c>
      <c r="W135" s="427"/>
      <c r="X135" s="522"/>
      <c r="Y135" s="522"/>
    </row>
    <row r="136" spans="1:27" ht="22.5" customHeight="1" thickTop="1" thickBot="1" x14ac:dyDescent="0.3">
      <c r="A136" s="425">
        <v>1</v>
      </c>
      <c r="B136" s="505" t="s">
        <v>216</v>
      </c>
      <c r="C136" s="505" t="s">
        <v>216</v>
      </c>
      <c r="D136" s="505" t="s">
        <v>231</v>
      </c>
      <c r="E136" s="505" t="s">
        <v>243</v>
      </c>
      <c r="F136" s="505" t="s">
        <v>307</v>
      </c>
      <c r="G136" s="505" t="s">
        <v>371</v>
      </c>
      <c r="H136" s="505" t="s">
        <v>216</v>
      </c>
      <c r="I136" s="505"/>
      <c r="J136" s="505"/>
      <c r="K136" s="502" t="s">
        <v>373</v>
      </c>
      <c r="L136" s="426">
        <v>216000000</v>
      </c>
      <c r="M136" s="427"/>
      <c r="N136" s="427"/>
      <c r="O136" s="426">
        <f>+L136+M136-N136</f>
        <v>216000000</v>
      </c>
      <c r="P136" s="602">
        <f>+O136*10%</f>
        <v>21600000</v>
      </c>
      <c r="Q136" s="603">
        <f>+O136*80%</f>
        <v>172800000</v>
      </c>
      <c r="R136" s="604">
        <f>+O136*10%</f>
        <v>21600000</v>
      </c>
      <c r="S136" s="427"/>
      <c r="T136" s="427"/>
      <c r="U136" s="601">
        <v>172997851</v>
      </c>
      <c r="V136" s="737">
        <f t="shared" ref="V136" si="84">+U136/O136</f>
        <v>0.8009159768518519</v>
      </c>
      <c r="W136" s="427"/>
      <c r="X136" s="522"/>
      <c r="Y136" s="522"/>
      <c r="Z136" s="738">
        <f t="shared" ref="Z136:Z138" si="85">SUBTOTAL(9,P136:S136)</f>
        <v>216000000</v>
      </c>
      <c r="AA136" s="739">
        <f t="shared" ref="AA136:AA138" si="86">+Z136-O136</f>
        <v>0</v>
      </c>
    </row>
    <row r="137" spans="1:27" ht="22.5" customHeight="1" thickTop="1" thickBot="1" x14ac:dyDescent="0.3">
      <c r="A137" s="425">
        <v>1</v>
      </c>
      <c r="B137" s="505" t="s">
        <v>216</v>
      </c>
      <c r="C137" s="505" t="s">
        <v>216</v>
      </c>
      <c r="D137" s="505" t="s">
        <v>231</v>
      </c>
      <c r="E137" s="505" t="s">
        <v>243</v>
      </c>
      <c r="F137" s="505" t="s">
        <v>307</v>
      </c>
      <c r="G137" s="505" t="s">
        <v>371</v>
      </c>
      <c r="H137" s="505" t="s">
        <v>227</v>
      </c>
      <c r="I137" s="505"/>
      <c r="J137" s="505"/>
      <c r="K137" s="502" t="s">
        <v>374</v>
      </c>
      <c r="L137" s="427"/>
      <c r="M137" s="427"/>
      <c r="N137" s="427"/>
      <c r="O137" s="426">
        <f>+L137+M137-N137</f>
        <v>0</v>
      </c>
      <c r="P137" s="605"/>
      <c r="Q137" s="606"/>
      <c r="R137" s="607"/>
      <c r="S137" s="427"/>
      <c r="T137" s="427"/>
      <c r="U137" s="608"/>
      <c r="V137" s="737">
        <v>0</v>
      </c>
      <c r="W137" s="427"/>
      <c r="X137" s="522"/>
      <c r="Y137" s="522"/>
      <c r="Z137" s="738">
        <f t="shared" si="85"/>
        <v>0</v>
      </c>
      <c r="AA137" s="739">
        <f t="shared" si="86"/>
        <v>0</v>
      </c>
    </row>
    <row r="138" spans="1:27" ht="22.5" customHeight="1" thickTop="1" thickBot="1" x14ac:dyDescent="0.3">
      <c r="A138" s="425">
        <v>1</v>
      </c>
      <c r="B138" s="505" t="s">
        <v>216</v>
      </c>
      <c r="C138" s="505" t="s">
        <v>216</v>
      </c>
      <c r="D138" s="505" t="s">
        <v>231</v>
      </c>
      <c r="E138" s="505" t="s">
        <v>243</v>
      </c>
      <c r="F138" s="505" t="s">
        <v>307</v>
      </c>
      <c r="G138" s="505" t="s">
        <v>371</v>
      </c>
      <c r="H138" s="505" t="s">
        <v>229</v>
      </c>
      <c r="I138" s="505"/>
      <c r="J138" s="505"/>
      <c r="K138" s="502" t="s">
        <v>375</v>
      </c>
      <c r="L138" s="427"/>
      <c r="M138" s="427"/>
      <c r="N138" s="427"/>
      <c r="O138" s="426">
        <f>+L138+M138-N138</f>
        <v>0</v>
      </c>
      <c r="P138" s="605"/>
      <c r="Q138" s="606"/>
      <c r="R138" s="607"/>
      <c r="S138" s="427"/>
      <c r="T138" s="427"/>
      <c r="U138" s="608"/>
      <c r="V138" s="737">
        <v>0</v>
      </c>
      <c r="W138" s="427"/>
      <c r="X138" s="522"/>
      <c r="Y138" s="522"/>
      <c r="Z138" s="738">
        <f t="shared" si="85"/>
        <v>0</v>
      </c>
      <c r="AA138" s="739">
        <f t="shared" si="86"/>
        <v>0</v>
      </c>
    </row>
    <row r="139" spans="1:27" ht="22.5" customHeight="1" thickTop="1" thickBot="1" x14ac:dyDescent="0.3">
      <c r="A139" s="425">
        <v>1</v>
      </c>
      <c r="B139" s="505" t="s">
        <v>216</v>
      </c>
      <c r="C139" s="505" t="s">
        <v>216</v>
      </c>
      <c r="D139" s="505" t="s">
        <v>231</v>
      </c>
      <c r="E139" s="505" t="s">
        <v>243</v>
      </c>
      <c r="F139" s="505" t="s">
        <v>307</v>
      </c>
      <c r="G139" s="505" t="s">
        <v>376</v>
      </c>
      <c r="H139" s="505"/>
      <c r="I139" s="505"/>
      <c r="J139" s="505"/>
      <c r="K139" s="502" t="s">
        <v>377</v>
      </c>
      <c r="L139" s="427">
        <f>SUM(L140:L142)</f>
        <v>0</v>
      </c>
      <c r="M139" s="427">
        <f t="shared" ref="M139:U139" si="87">SUM(M140:M142)</f>
        <v>0</v>
      </c>
      <c r="N139" s="427">
        <f t="shared" si="87"/>
        <v>0</v>
      </c>
      <c r="O139" s="427">
        <f t="shared" si="87"/>
        <v>0</v>
      </c>
      <c r="P139" s="605">
        <f t="shared" si="87"/>
        <v>0</v>
      </c>
      <c r="Q139" s="606">
        <f t="shared" si="87"/>
        <v>0</v>
      </c>
      <c r="R139" s="607">
        <f t="shared" si="87"/>
        <v>0</v>
      </c>
      <c r="S139" s="427">
        <f t="shared" si="87"/>
        <v>0</v>
      </c>
      <c r="T139" s="427">
        <f t="shared" si="87"/>
        <v>0</v>
      </c>
      <c r="U139" s="608">
        <f t="shared" si="87"/>
        <v>0</v>
      </c>
      <c r="V139" s="427" t="e">
        <f t="shared" ref="V139:V199" si="88">+U139/T139</f>
        <v>#DIV/0!</v>
      </c>
      <c r="W139" s="427"/>
      <c r="X139" s="522"/>
      <c r="Y139" s="522"/>
    </row>
    <row r="140" spans="1:27" ht="22.5" customHeight="1" thickTop="1" thickBot="1" x14ac:dyDescent="0.3">
      <c r="A140" s="425">
        <v>1</v>
      </c>
      <c r="B140" s="505" t="s">
        <v>216</v>
      </c>
      <c r="C140" s="505" t="s">
        <v>216</v>
      </c>
      <c r="D140" s="505" t="s">
        <v>231</v>
      </c>
      <c r="E140" s="505" t="s">
        <v>243</v>
      </c>
      <c r="F140" s="505" t="s">
        <v>307</v>
      </c>
      <c r="G140" s="505" t="s">
        <v>376</v>
      </c>
      <c r="H140" s="505" t="s">
        <v>216</v>
      </c>
      <c r="I140" s="505"/>
      <c r="J140" s="505"/>
      <c r="K140" s="502" t="s">
        <v>378</v>
      </c>
      <c r="L140" s="427"/>
      <c r="M140" s="427"/>
      <c r="N140" s="427"/>
      <c r="O140" s="426">
        <f>+L140+M140-N140</f>
        <v>0</v>
      </c>
      <c r="P140" s="605"/>
      <c r="Q140" s="606"/>
      <c r="R140" s="607"/>
      <c r="S140" s="427"/>
      <c r="T140" s="427"/>
      <c r="U140" s="608"/>
      <c r="V140" s="737">
        <v>0</v>
      </c>
      <c r="W140" s="427"/>
      <c r="X140" s="522"/>
      <c r="Y140" s="522"/>
      <c r="Z140" s="738">
        <f t="shared" ref="Z140:Z142" si="89">SUBTOTAL(9,P140:S140)</f>
        <v>0</v>
      </c>
      <c r="AA140" s="739">
        <f t="shared" ref="AA140:AA142" si="90">+Z140-O140</f>
        <v>0</v>
      </c>
    </row>
    <row r="141" spans="1:27" ht="22.5" customHeight="1" thickTop="1" thickBot="1" x14ac:dyDescent="0.3">
      <c r="A141" s="425">
        <v>1</v>
      </c>
      <c r="B141" s="505" t="s">
        <v>216</v>
      </c>
      <c r="C141" s="505" t="s">
        <v>216</v>
      </c>
      <c r="D141" s="505" t="s">
        <v>231</v>
      </c>
      <c r="E141" s="505" t="s">
        <v>243</v>
      </c>
      <c r="F141" s="505" t="s">
        <v>307</v>
      </c>
      <c r="G141" s="505" t="s">
        <v>376</v>
      </c>
      <c r="H141" s="505" t="s">
        <v>227</v>
      </c>
      <c r="I141" s="505"/>
      <c r="J141" s="505"/>
      <c r="K141" s="502" t="s">
        <v>379</v>
      </c>
      <c r="L141" s="427"/>
      <c r="M141" s="427"/>
      <c r="N141" s="427"/>
      <c r="O141" s="426">
        <f>+L141+M141-N141</f>
        <v>0</v>
      </c>
      <c r="P141" s="605"/>
      <c r="Q141" s="606"/>
      <c r="R141" s="607"/>
      <c r="S141" s="427"/>
      <c r="T141" s="427"/>
      <c r="U141" s="608"/>
      <c r="V141" s="737">
        <v>0</v>
      </c>
      <c r="W141" s="427"/>
      <c r="X141" s="522"/>
      <c r="Y141" s="522"/>
      <c r="Z141" s="738">
        <f t="shared" si="89"/>
        <v>0</v>
      </c>
      <c r="AA141" s="739">
        <f t="shared" si="90"/>
        <v>0</v>
      </c>
    </row>
    <row r="142" spans="1:27" ht="22.5" customHeight="1" thickTop="1" thickBot="1" x14ac:dyDescent="0.3">
      <c r="A142" s="425">
        <v>1</v>
      </c>
      <c r="B142" s="505" t="s">
        <v>216</v>
      </c>
      <c r="C142" s="505" t="s">
        <v>216</v>
      </c>
      <c r="D142" s="505" t="s">
        <v>231</v>
      </c>
      <c r="E142" s="505" t="s">
        <v>243</v>
      </c>
      <c r="F142" s="505" t="s">
        <v>307</v>
      </c>
      <c r="G142" s="505" t="s">
        <v>376</v>
      </c>
      <c r="H142" s="505" t="s">
        <v>229</v>
      </c>
      <c r="I142" s="505"/>
      <c r="J142" s="505"/>
      <c r="K142" s="502" t="s">
        <v>380</v>
      </c>
      <c r="L142" s="427"/>
      <c r="M142" s="427"/>
      <c r="N142" s="427"/>
      <c r="O142" s="426">
        <f>+L142+M142-N142</f>
        <v>0</v>
      </c>
      <c r="P142" s="605"/>
      <c r="Q142" s="606"/>
      <c r="R142" s="607"/>
      <c r="S142" s="427"/>
      <c r="T142" s="427"/>
      <c r="U142" s="608"/>
      <c r="V142" s="737">
        <v>0</v>
      </c>
      <c r="W142" s="427"/>
      <c r="X142" s="522"/>
      <c r="Y142" s="522"/>
      <c r="Z142" s="738">
        <f t="shared" si="89"/>
        <v>0</v>
      </c>
      <c r="AA142" s="739">
        <f t="shared" si="90"/>
        <v>0</v>
      </c>
    </row>
    <row r="143" spans="1:27" ht="22.5" customHeight="1" thickTop="1" thickBot="1" x14ac:dyDescent="0.3">
      <c r="A143" s="425">
        <v>1</v>
      </c>
      <c r="B143" s="505" t="s">
        <v>216</v>
      </c>
      <c r="C143" s="505" t="s">
        <v>216</v>
      </c>
      <c r="D143" s="505" t="s">
        <v>231</v>
      </c>
      <c r="E143" s="505" t="s">
        <v>243</v>
      </c>
      <c r="F143" s="505" t="s">
        <v>307</v>
      </c>
      <c r="G143" s="505" t="s">
        <v>381</v>
      </c>
      <c r="H143" s="505"/>
      <c r="I143" s="505"/>
      <c r="J143" s="505"/>
      <c r="K143" s="502" t="s">
        <v>382</v>
      </c>
      <c r="L143" s="427">
        <f>SUM(L144:L146)</f>
        <v>0</v>
      </c>
      <c r="M143" s="427">
        <f t="shared" ref="M143:U143" si="91">SUM(M144:M146)</f>
        <v>0</v>
      </c>
      <c r="N143" s="427">
        <f t="shared" si="91"/>
        <v>0</v>
      </c>
      <c r="O143" s="427">
        <f t="shared" si="91"/>
        <v>0</v>
      </c>
      <c r="P143" s="605">
        <f t="shared" si="91"/>
        <v>0</v>
      </c>
      <c r="Q143" s="606">
        <f t="shared" si="91"/>
        <v>0</v>
      </c>
      <c r="R143" s="607">
        <f t="shared" si="91"/>
        <v>0</v>
      </c>
      <c r="S143" s="427">
        <f t="shared" si="91"/>
        <v>0</v>
      </c>
      <c r="T143" s="427">
        <f t="shared" si="91"/>
        <v>0</v>
      </c>
      <c r="U143" s="608">
        <f t="shared" si="91"/>
        <v>0</v>
      </c>
      <c r="V143" s="427" t="e">
        <f t="shared" si="88"/>
        <v>#DIV/0!</v>
      </c>
      <c r="W143" s="427"/>
      <c r="X143" s="522"/>
      <c r="Y143" s="522"/>
    </row>
    <row r="144" spans="1:27" ht="22.5" customHeight="1" thickTop="1" thickBot="1" x14ac:dyDescent="0.3">
      <c r="A144" s="425">
        <v>1</v>
      </c>
      <c r="B144" s="505" t="s">
        <v>216</v>
      </c>
      <c r="C144" s="505" t="s">
        <v>216</v>
      </c>
      <c r="D144" s="505" t="s">
        <v>231</v>
      </c>
      <c r="E144" s="505" t="s">
        <v>243</v>
      </c>
      <c r="F144" s="505" t="s">
        <v>307</v>
      </c>
      <c r="G144" s="505" t="s">
        <v>381</v>
      </c>
      <c r="H144" s="505" t="s">
        <v>216</v>
      </c>
      <c r="I144" s="505"/>
      <c r="J144" s="505"/>
      <c r="K144" s="502" t="s">
        <v>383</v>
      </c>
      <c r="L144" s="427"/>
      <c r="M144" s="427"/>
      <c r="N144" s="427"/>
      <c r="O144" s="426">
        <f>+L144+M144-N144</f>
        <v>0</v>
      </c>
      <c r="P144" s="605"/>
      <c r="Q144" s="606"/>
      <c r="R144" s="607"/>
      <c r="S144" s="427"/>
      <c r="T144" s="427"/>
      <c r="U144" s="608"/>
      <c r="V144" s="737">
        <v>0</v>
      </c>
      <c r="W144" s="427"/>
      <c r="X144" s="522"/>
      <c r="Y144" s="522"/>
      <c r="Z144" s="738">
        <f t="shared" ref="Z144:Z146" si="92">SUBTOTAL(9,P144:S144)</f>
        <v>0</v>
      </c>
      <c r="AA144" s="739">
        <f t="shared" ref="AA144:AA146" si="93">+Z144-O144</f>
        <v>0</v>
      </c>
    </row>
    <row r="145" spans="1:27" ht="22.5" customHeight="1" thickTop="1" thickBot="1" x14ac:dyDescent="0.3">
      <c r="A145" s="425">
        <v>1</v>
      </c>
      <c r="B145" s="505" t="s">
        <v>216</v>
      </c>
      <c r="C145" s="505" t="s">
        <v>216</v>
      </c>
      <c r="D145" s="505" t="s">
        <v>231</v>
      </c>
      <c r="E145" s="505" t="s">
        <v>243</v>
      </c>
      <c r="F145" s="505" t="s">
        <v>307</v>
      </c>
      <c r="G145" s="505" t="s">
        <v>381</v>
      </c>
      <c r="H145" s="505" t="s">
        <v>227</v>
      </c>
      <c r="I145" s="505"/>
      <c r="J145" s="505"/>
      <c r="K145" s="502" t="s">
        <v>384</v>
      </c>
      <c r="L145" s="427"/>
      <c r="M145" s="427"/>
      <c r="N145" s="427"/>
      <c r="O145" s="426">
        <f>+L145+M145-N145</f>
        <v>0</v>
      </c>
      <c r="P145" s="605"/>
      <c r="Q145" s="606"/>
      <c r="R145" s="607"/>
      <c r="S145" s="427"/>
      <c r="T145" s="427"/>
      <c r="U145" s="608"/>
      <c r="V145" s="737">
        <v>0</v>
      </c>
      <c r="W145" s="427"/>
      <c r="X145" s="522"/>
      <c r="Y145" s="522"/>
      <c r="Z145" s="738">
        <f t="shared" si="92"/>
        <v>0</v>
      </c>
      <c r="AA145" s="739">
        <f t="shared" si="93"/>
        <v>0</v>
      </c>
    </row>
    <row r="146" spans="1:27" ht="22.5" customHeight="1" thickTop="1" thickBot="1" x14ac:dyDescent="0.3">
      <c r="A146" s="425">
        <v>1</v>
      </c>
      <c r="B146" s="505" t="s">
        <v>216</v>
      </c>
      <c r="C146" s="505" t="s">
        <v>216</v>
      </c>
      <c r="D146" s="505" t="s">
        <v>231</v>
      </c>
      <c r="E146" s="505" t="s">
        <v>243</v>
      </c>
      <c r="F146" s="505" t="s">
        <v>307</v>
      </c>
      <c r="G146" s="505" t="s">
        <v>381</v>
      </c>
      <c r="H146" s="505" t="s">
        <v>229</v>
      </c>
      <c r="I146" s="505"/>
      <c r="J146" s="505"/>
      <c r="K146" s="502" t="s">
        <v>385</v>
      </c>
      <c r="L146" s="427"/>
      <c r="M146" s="427"/>
      <c r="N146" s="427"/>
      <c r="O146" s="426">
        <f>+L146+M146-N146</f>
        <v>0</v>
      </c>
      <c r="P146" s="605"/>
      <c r="Q146" s="606"/>
      <c r="R146" s="607"/>
      <c r="S146" s="427"/>
      <c r="T146" s="427"/>
      <c r="U146" s="608"/>
      <c r="V146" s="737">
        <v>0</v>
      </c>
      <c r="W146" s="427"/>
      <c r="X146" s="522"/>
      <c r="Y146" s="522"/>
      <c r="Z146" s="738">
        <f t="shared" si="92"/>
        <v>0</v>
      </c>
      <c r="AA146" s="739">
        <f t="shared" si="93"/>
        <v>0</v>
      </c>
    </row>
    <row r="147" spans="1:27" ht="22.5" customHeight="1" thickTop="1" thickBot="1" x14ac:dyDescent="0.3">
      <c r="A147" s="425">
        <v>1</v>
      </c>
      <c r="B147" s="505" t="s">
        <v>216</v>
      </c>
      <c r="C147" s="505" t="s">
        <v>216</v>
      </c>
      <c r="D147" s="505" t="s">
        <v>231</v>
      </c>
      <c r="E147" s="505" t="s">
        <v>243</v>
      </c>
      <c r="F147" s="505" t="s">
        <v>332</v>
      </c>
      <c r="G147" s="505"/>
      <c r="H147" s="505"/>
      <c r="I147" s="505"/>
      <c r="J147" s="505"/>
      <c r="K147" s="502" t="s">
        <v>386</v>
      </c>
      <c r="L147" s="427">
        <f>+L148+L151+L155+L159+L163+L167+L171+L175+L179+L183</f>
        <v>0</v>
      </c>
      <c r="M147" s="427">
        <f t="shared" ref="M147:U147" si="94">+M148+M151+M155+M159+M163+M167+M171+M175+M179+M183</f>
        <v>0</v>
      </c>
      <c r="N147" s="427">
        <f t="shared" si="94"/>
        <v>0</v>
      </c>
      <c r="O147" s="427">
        <f t="shared" si="94"/>
        <v>0</v>
      </c>
      <c r="P147" s="605">
        <f t="shared" si="94"/>
        <v>0</v>
      </c>
      <c r="Q147" s="606">
        <f t="shared" si="94"/>
        <v>0</v>
      </c>
      <c r="R147" s="607">
        <f t="shared" si="94"/>
        <v>0</v>
      </c>
      <c r="S147" s="427">
        <f t="shared" si="94"/>
        <v>0</v>
      </c>
      <c r="T147" s="427">
        <f t="shared" si="94"/>
        <v>0</v>
      </c>
      <c r="U147" s="608">
        <f t="shared" si="94"/>
        <v>0</v>
      </c>
      <c r="V147" s="427" t="e">
        <f t="shared" si="88"/>
        <v>#DIV/0!</v>
      </c>
      <c r="W147" s="427"/>
      <c r="X147" s="522"/>
      <c r="Y147" s="522"/>
    </row>
    <row r="148" spans="1:27" ht="22.5" customHeight="1" thickTop="1" thickBot="1" x14ac:dyDescent="0.3">
      <c r="A148" s="425">
        <v>1</v>
      </c>
      <c r="B148" s="505" t="s">
        <v>216</v>
      </c>
      <c r="C148" s="505" t="s">
        <v>216</v>
      </c>
      <c r="D148" s="505" t="s">
        <v>231</v>
      </c>
      <c r="E148" s="505" t="s">
        <v>243</v>
      </c>
      <c r="F148" s="505" t="s">
        <v>332</v>
      </c>
      <c r="G148" s="505" t="s">
        <v>336</v>
      </c>
      <c r="H148" s="505"/>
      <c r="I148" s="505"/>
      <c r="J148" s="505"/>
      <c r="K148" s="502" t="s">
        <v>337</v>
      </c>
      <c r="L148" s="427">
        <f>SUM(L149:L150)</f>
        <v>0</v>
      </c>
      <c r="M148" s="427">
        <f t="shared" ref="M148:U148" si="95">SUM(M149:M150)</f>
        <v>0</v>
      </c>
      <c r="N148" s="427">
        <f t="shared" si="95"/>
        <v>0</v>
      </c>
      <c r="O148" s="427">
        <f t="shared" si="95"/>
        <v>0</v>
      </c>
      <c r="P148" s="605">
        <f t="shared" si="95"/>
        <v>0</v>
      </c>
      <c r="Q148" s="606">
        <f t="shared" si="95"/>
        <v>0</v>
      </c>
      <c r="R148" s="607">
        <f t="shared" si="95"/>
        <v>0</v>
      </c>
      <c r="S148" s="427">
        <f t="shared" si="95"/>
        <v>0</v>
      </c>
      <c r="T148" s="427">
        <f t="shared" si="95"/>
        <v>0</v>
      </c>
      <c r="U148" s="608">
        <f t="shared" si="95"/>
        <v>0</v>
      </c>
      <c r="V148" s="427" t="e">
        <f t="shared" si="88"/>
        <v>#DIV/0!</v>
      </c>
      <c r="W148" s="427"/>
      <c r="X148" s="522"/>
      <c r="Y148" s="522"/>
    </row>
    <row r="149" spans="1:27" ht="22.5" customHeight="1" thickTop="1" thickBot="1" x14ac:dyDescent="0.3">
      <c r="A149" s="425">
        <v>1</v>
      </c>
      <c r="B149" s="505" t="s">
        <v>216</v>
      </c>
      <c r="C149" s="505" t="s">
        <v>216</v>
      </c>
      <c r="D149" s="505" t="s">
        <v>231</v>
      </c>
      <c r="E149" s="505" t="s">
        <v>243</v>
      </c>
      <c r="F149" s="505" t="s">
        <v>332</v>
      </c>
      <c r="G149" s="505" t="s">
        <v>336</v>
      </c>
      <c r="H149" s="505" t="s">
        <v>216</v>
      </c>
      <c r="I149" s="505"/>
      <c r="J149" s="505"/>
      <c r="K149" s="502" t="s">
        <v>338</v>
      </c>
      <c r="L149" s="427"/>
      <c r="M149" s="427"/>
      <c r="N149" s="427"/>
      <c r="O149" s="426">
        <f>+L149+M149-N149</f>
        <v>0</v>
      </c>
      <c r="P149" s="605"/>
      <c r="Q149" s="606"/>
      <c r="R149" s="607"/>
      <c r="S149" s="427"/>
      <c r="T149" s="427"/>
      <c r="U149" s="608"/>
      <c r="V149" s="737">
        <v>0</v>
      </c>
      <c r="W149" s="427"/>
      <c r="X149" s="522"/>
      <c r="Y149" s="522"/>
      <c r="Z149" s="738">
        <f t="shared" ref="Z149:Z150" si="96">SUBTOTAL(9,P149:S149)</f>
        <v>0</v>
      </c>
      <c r="AA149" s="739">
        <f t="shared" ref="AA149:AA150" si="97">+Z149-O149</f>
        <v>0</v>
      </c>
    </row>
    <row r="150" spans="1:27" ht="22.5" customHeight="1" thickTop="1" thickBot="1" x14ac:dyDescent="0.3">
      <c r="A150" s="425">
        <v>1</v>
      </c>
      <c r="B150" s="505" t="s">
        <v>216</v>
      </c>
      <c r="C150" s="505" t="s">
        <v>216</v>
      </c>
      <c r="D150" s="505" t="s">
        <v>231</v>
      </c>
      <c r="E150" s="505" t="s">
        <v>243</v>
      </c>
      <c r="F150" s="505" t="s">
        <v>332</v>
      </c>
      <c r="G150" s="505" t="s">
        <v>336</v>
      </c>
      <c r="H150" s="505" t="s">
        <v>227</v>
      </c>
      <c r="I150" s="505"/>
      <c r="J150" s="505"/>
      <c r="K150" s="502" t="s">
        <v>387</v>
      </c>
      <c r="L150" s="427"/>
      <c r="M150" s="427"/>
      <c r="N150" s="427"/>
      <c r="O150" s="426">
        <f>+L150+M150-N150</f>
        <v>0</v>
      </c>
      <c r="P150" s="605"/>
      <c r="Q150" s="606"/>
      <c r="R150" s="607"/>
      <c r="S150" s="427"/>
      <c r="T150" s="427"/>
      <c r="U150" s="608"/>
      <c r="V150" s="737">
        <v>0</v>
      </c>
      <c r="W150" s="427"/>
      <c r="X150" s="522"/>
      <c r="Y150" s="522"/>
      <c r="Z150" s="738">
        <f t="shared" si="96"/>
        <v>0</v>
      </c>
      <c r="AA150" s="739">
        <f t="shared" si="97"/>
        <v>0</v>
      </c>
    </row>
    <row r="151" spans="1:27" ht="22.5" customHeight="1" thickTop="1" thickBot="1" x14ac:dyDescent="0.3">
      <c r="A151" s="425">
        <v>1</v>
      </c>
      <c r="B151" s="505" t="s">
        <v>216</v>
      </c>
      <c r="C151" s="505" t="s">
        <v>216</v>
      </c>
      <c r="D151" s="505" t="s">
        <v>231</v>
      </c>
      <c r="E151" s="505" t="s">
        <v>243</v>
      </c>
      <c r="F151" s="505" t="s">
        <v>332</v>
      </c>
      <c r="G151" s="505" t="s">
        <v>220</v>
      </c>
      <c r="H151" s="505"/>
      <c r="I151" s="505"/>
      <c r="J151" s="505"/>
      <c r="K151" s="502" t="s">
        <v>341</v>
      </c>
      <c r="L151" s="427">
        <f>SUM(L152:L154)</f>
        <v>0</v>
      </c>
      <c r="M151" s="427">
        <f t="shared" ref="M151:U151" si="98">SUM(M152:M154)</f>
        <v>0</v>
      </c>
      <c r="N151" s="427">
        <f t="shared" si="98"/>
        <v>0</v>
      </c>
      <c r="O151" s="427">
        <f t="shared" si="98"/>
        <v>0</v>
      </c>
      <c r="P151" s="605">
        <f t="shared" si="98"/>
        <v>0</v>
      </c>
      <c r="Q151" s="606">
        <f t="shared" si="98"/>
        <v>0</v>
      </c>
      <c r="R151" s="607">
        <f t="shared" si="98"/>
        <v>0</v>
      </c>
      <c r="S151" s="427">
        <f t="shared" si="98"/>
        <v>0</v>
      </c>
      <c r="T151" s="427">
        <f t="shared" si="98"/>
        <v>0</v>
      </c>
      <c r="U151" s="608">
        <f t="shared" si="98"/>
        <v>0</v>
      </c>
      <c r="V151" s="427" t="e">
        <f t="shared" si="88"/>
        <v>#DIV/0!</v>
      </c>
      <c r="W151" s="427"/>
      <c r="X151" s="522"/>
      <c r="Y151" s="522"/>
    </row>
    <row r="152" spans="1:27" ht="22.5" customHeight="1" thickTop="1" thickBot="1" x14ac:dyDescent="0.3">
      <c r="A152" s="425">
        <v>1</v>
      </c>
      <c r="B152" s="505" t="s">
        <v>216</v>
      </c>
      <c r="C152" s="505" t="s">
        <v>216</v>
      </c>
      <c r="D152" s="505" t="s">
        <v>231</v>
      </c>
      <c r="E152" s="505" t="s">
        <v>243</v>
      </c>
      <c r="F152" s="505" t="s">
        <v>332</v>
      </c>
      <c r="G152" s="505" t="s">
        <v>220</v>
      </c>
      <c r="H152" s="505" t="s">
        <v>216</v>
      </c>
      <c r="I152" s="505"/>
      <c r="J152" s="505"/>
      <c r="K152" s="502" t="s">
        <v>342</v>
      </c>
      <c r="L152" s="427"/>
      <c r="M152" s="427"/>
      <c r="N152" s="427"/>
      <c r="O152" s="426">
        <f>+L152+M152-N152</f>
        <v>0</v>
      </c>
      <c r="P152" s="605"/>
      <c r="Q152" s="606"/>
      <c r="R152" s="607"/>
      <c r="S152" s="427"/>
      <c r="T152" s="427"/>
      <c r="U152" s="608"/>
      <c r="V152" s="737">
        <v>0</v>
      </c>
      <c r="W152" s="427"/>
      <c r="X152" s="522"/>
      <c r="Y152" s="522"/>
      <c r="Z152" s="738">
        <f t="shared" ref="Z152:Z154" si="99">SUBTOTAL(9,P152:S152)</f>
        <v>0</v>
      </c>
      <c r="AA152" s="739">
        <f t="shared" ref="AA152:AA154" si="100">+Z152-O152</f>
        <v>0</v>
      </c>
    </row>
    <row r="153" spans="1:27" ht="22.5" customHeight="1" thickTop="1" thickBot="1" x14ac:dyDescent="0.3">
      <c r="A153" s="425">
        <v>1</v>
      </c>
      <c r="B153" s="505" t="s">
        <v>216</v>
      </c>
      <c r="C153" s="505" t="s">
        <v>216</v>
      </c>
      <c r="D153" s="505" t="s">
        <v>231</v>
      </c>
      <c r="E153" s="505" t="s">
        <v>243</v>
      </c>
      <c r="F153" s="505" t="s">
        <v>332</v>
      </c>
      <c r="G153" s="505" t="s">
        <v>220</v>
      </c>
      <c r="H153" s="505" t="s">
        <v>227</v>
      </c>
      <c r="I153" s="505"/>
      <c r="J153" s="505"/>
      <c r="K153" s="502" t="s">
        <v>343</v>
      </c>
      <c r="L153" s="427"/>
      <c r="M153" s="427"/>
      <c r="N153" s="427"/>
      <c r="O153" s="426">
        <f>+L153+M153-N153</f>
        <v>0</v>
      </c>
      <c r="P153" s="605"/>
      <c r="Q153" s="606"/>
      <c r="R153" s="607"/>
      <c r="S153" s="427"/>
      <c r="T153" s="427"/>
      <c r="U153" s="608"/>
      <c r="V153" s="737">
        <v>0</v>
      </c>
      <c r="W153" s="427"/>
      <c r="X153" s="522"/>
      <c r="Y153" s="522"/>
      <c r="Z153" s="738">
        <f t="shared" si="99"/>
        <v>0</v>
      </c>
      <c r="AA153" s="739">
        <f t="shared" si="100"/>
        <v>0</v>
      </c>
    </row>
    <row r="154" spans="1:27" ht="22.5" customHeight="1" thickTop="1" thickBot="1" x14ac:dyDescent="0.3">
      <c r="A154" s="425">
        <v>1</v>
      </c>
      <c r="B154" s="505" t="s">
        <v>216</v>
      </c>
      <c r="C154" s="505" t="s">
        <v>216</v>
      </c>
      <c r="D154" s="505" t="s">
        <v>231</v>
      </c>
      <c r="E154" s="505" t="s">
        <v>243</v>
      </c>
      <c r="F154" s="505" t="s">
        <v>332</v>
      </c>
      <c r="G154" s="505" t="s">
        <v>220</v>
      </c>
      <c r="H154" s="505" t="s">
        <v>229</v>
      </c>
      <c r="I154" s="505"/>
      <c r="J154" s="505"/>
      <c r="K154" s="502" t="s">
        <v>344</v>
      </c>
      <c r="L154" s="427"/>
      <c r="M154" s="427"/>
      <c r="N154" s="427"/>
      <c r="O154" s="426">
        <f>+L154+M154-N154</f>
        <v>0</v>
      </c>
      <c r="P154" s="605"/>
      <c r="Q154" s="606"/>
      <c r="R154" s="607"/>
      <c r="S154" s="427"/>
      <c r="T154" s="427"/>
      <c r="U154" s="608"/>
      <c r="V154" s="737">
        <v>0</v>
      </c>
      <c r="W154" s="427"/>
      <c r="X154" s="522"/>
      <c r="Y154" s="522"/>
      <c r="Z154" s="738">
        <f t="shared" si="99"/>
        <v>0</v>
      </c>
      <c r="AA154" s="739">
        <f t="shared" si="100"/>
        <v>0</v>
      </c>
    </row>
    <row r="155" spans="1:27" ht="22.5" customHeight="1" thickTop="1" thickBot="1" x14ac:dyDescent="0.3">
      <c r="A155" s="425">
        <v>1</v>
      </c>
      <c r="B155" s="505" t="s">
        <v>216</v>
      </c>
      <c r="C155" s="505" t="s">
        <v>216</v>
      </c>
      <c r="D155" s="505" t="s">
        <v>231</v>
      </c>
      <c r="E155" s="505" t="s">
        <v>243</v>
      </c>
      <c r="F155" s="505" t="s">
        <v>332</v>
      </c>
      <c r="G155" s="505" t="s">
        <v>231</v>
      </c>
      <c r="H155" s="505"/>
      <c r="I155" s="505"/>
      <c r="J155" s="505"/>
      <c r="K155" s="502" t="s">
        <v>345</v>
      </c>
      <c r="L155" s="427">
        <f>SUM(L156:L158)</f>
        <v>0</v>
      </c>
      <c r="M155" s="427">
        <f t="shared" ref="M155:U155" si="101">SUM(M156:M158)</f>
        <v>0</v>
      </c>
      <c r="N155" s="427">
        <f t="shared" si="101"/>
        <v>0</v>
      </c>
      <c r="O155" s="427">
        <f t="shared" si="101"/>
        <v>0</v>
      </c>
      <c r="P155" s="605">
        <f t="shared" si="101"/>
        <v>0</v>
      </c>
      <c r="Q155" s="606">
        <f t="shared" si="101"/>
        <v>0</v>
      </c>
      <c r="R155" s="607">
        <f t="shared" si="101"/>
        <v>0</v>
      </c>
      <c r="S155" s="427">
        <f t="shared" si="101"/>
        <v>0</v>
      </c>
      <c r="T155" s="427">
        <f t="shared" si="101"/>
        <v>0</v>
      </c>
      <c r="U155" s="608">
        <f t="shared" si="101"/>
        <v>0</v>
      </c>
      <c r="V155" s="427" t="e">
        <f t="shared" si="88"/>
        <v>#DIV/0!</v>
      </c>
      <c r="W155" s="427"/>
      <c r="X155" s="522"/>
      <c r="Y155" s="522"/>
    </row>
    <row r="156" spans="1:27" ht="22.5" customHeight="1" thickTop="1" thickBot="1" x14ac:dyDescent="0.3">
      <c r="A156" s="425">
        <v>1</v>
      </c>
      <c r="B156" s="505" t="s">
        <v>216</v>
      </c>
      <c r="C156" s="505" t="s">
        <v>216</v>
      </c>
      <c r="D156" s="505" t="s">
        <v>231</v>
      </c>
      <c r="E156" s="505" t="s">
        <v>243</v>
      </c>
      <c r="F156" s="505" t="s">
        <v>332</v>
      </c>
      <c r="G156" s="505" t="s">
        <v>231</v>
      </c>
      <c r="H156" s="505" t="s">
        <v>216</v>
      </c>
      <c r="I156" s="505"/>
      <c r="J156" s="505"/>
      <c r="K156" s="502" t="s">
        <v>346</v>
      </c>
      <c r="L156" s="427"/>
      <c r="M156" s="427"/>
      <c r="N156" s="427"/>
      <c r="O156" s="426">
        <f>+L156+M156-N156</f>
        <v>0</v>
      </c>
      <c r="P156" s="605"/>
      <c r="Q156" s="606"/>
      <c r="R156" s="607"/>
      <c r="S156" s="427"/>
      <c r="T156" s="427"/>
      <c r="U156" s="608"/>
      <c r="V156" s="737">
        <v>0</v>
      </c>
      <c r="W156" s="427"/>
      <c r="X156" s="522"/>
      <c r="Y156" s="522"/>
      <c r="Z156" s="738">
        <f t="shared" ref="Z156:Z158" si="102">SUBTOTAL(9,P156:S156)</f>
        <v>0</v>
      </c>
      <c r="AA156" s="739">
        <f t="shared" ref="AA156:AA158" si="103">+Z156-O156</f>
        <v>0</v>
      </c>
    </row>
    <row r="157" spans="1:27" ht="22.5" customHeight="1" thickTop="1" thickBot="1" x14ac:dyDescent="0.3">
      <c r="A157" s="425">
        <v>1</v>
      </c>
      <c r="B157" s="505" t="s">
        <v>216</v>
      </c>
      <c r="C157" s="505" t="s">
        <v>216</v>
      </c>
      <c r="D157" s="505" t="s">
        <v>231</v>
      </c>
      <c r="E157" s="505" t="s">
        <v>243</v>
      </c>
      <c r="F157" s="505" t="s">
        <v>332</v>
      </c>
      <c r="G157" s="505" t="s">
        <v>231</v>
      </c>
      <c r="H157" s="505" t="s">
        <v>227</v>
      </c>
      <c r="I157" s="505"/>
      <c r="J157" s="505"/>
      <c r="K157" s="502" t="s">
        <v>347</v>
      </c>
      <c r="L157" s="427"/>
      <c r="M157" s="427"/>
      <c r="N157" s="427"/>
      <c r="O157" s="426">
        <f>+L157+M157-N157</f>
        <v>0</v>
      </c>
      <c r="P157" s="605"/>
      <c r="Q157" s="606"/>
      <c r="R157" s="607"/>
      <c r="S157" s="427"/>
      <c r="T157" s="427"/>
      <c r="U157" s="608"/>
      <c r="V157" s="737">
        <v>0</v>
      </c>
      <c r="W157" s="427"/>
      <c r="X157" s="522"/>
      <c r="Y157" s="522"/>
      <c r="Z157" s="738">
        <f t="shared" si="102"/>
        <v>0</v>
      </c>
      <c r="AA157" s="739">
        <f t="shared" si="103"/>
        <v>0</v>
      </c>
    </row>
    <row r="158" spans="1:27" ht="22.5" customHeight="1" thickTop="1" thickBot="1" x14ac:dyDescent="0.3">
      <c r="A158" s="425">
        <v>1</v>
      </c>
      <c r="B158" s="505" t="s">
        <v>216</v>
      </c>
      <c r="C158" s="505" t="s">
        <v>216</v>
      </c>
      <c r="D158" s="505" t="s">
        <v>231</v>
      </c>
      <c r="E158" s="505" t="s">
        <v>243</v>
      </c>
      <c r="F158" s="505" t="s">
        <v>332</v>
      </c>
      <c r="G158" s="505" t="s">
        <v>231</v>
      </c>
      <c r="H158" s="505" t="s">
        <v>229</v>
      </c>
      <c r="I158" s="505"/>
      <c r="J158" s="505"/>
      <c r="K158" s="502" t="s">
        <v>348</v>
      </c>
      <c r="L158" s="427"/>
      <c r="M158" s="427"/>
      <c r="N158" s="427"/>
      <c r="O158" s="426">
        <f>+L158+M158-N158</f>
        <v>0</v>
      </c>
      <c r="P158" s="605"/>
      <c r="Q158" s="606"/>
      <c r="R158" s="607"/>
      <c r="S158" s="427"/>
      <c r="T158" s="427"/>
      <c r="U158" s="608"/>
      <c r="V158" s="737">
        <v>0</v>
      </c>
      <c r="W158" s="427"/>
      <c r="X158" s="522"/>
      <c r="Y158" s="522"/>
      <c r="Z158" s="738">
        <f t="shared" si="102"/>
        <v>0</v>
      </c>
      <c r="AA158" s="739">
        <f t="shared" si="103"/>
        <v>0</v>
      </c>
    </row>
    <row r="159" spans="1:27" ht="22.5" customHeight="1" thickTop="1" thickBot="1" x14ac:dyDescent="0.3">
      <c r="A159" s="425">
        <v>1</v>
      </c>
      <c r="B159" s="505" t="s">
        <v>216</v>
      </c>
      <c r="C159" s="505" t="s">
        <v>216</v>
      </c>
      <c r="D159" s="505" t="s">
        <v>231</v>
      </c>
      <c r="E159" s="505" t="s">
        <v>243</v>
      </c>
      <c r="F159" s="505" t="s">
        <v>332</v>
      </c>
      <c r="G159" s="505" t="s">
        <v>305</v>
      </c>
      <c r="H159" s="505"/>
      <c r="I159" s="505"/>
      <c r="J159" s="505"/>
      <c r="K159" s="502" t="s">
        <v>349</v>
      </c>
      <c r="L159" s="427">
        <f>SUM(L160:L162)</f>
        <v>0</v>
      </c>
      <c r="M159" s="427">
        <f t="shared" ref="M159:U159" si="104">SUM(M160:M162)</f>
        <v>0</v>
      </c>
      <c r="N159" s="427">
        <f t="shared" si="104"/>
        <v>0</v>
      </c>
      <c r="O159" s="427">
        <f t="shared" si="104"/>
        <v>0</v>
      </c>
      <c r="P159" s="605">
        <f t="shared" si="104"/>
        <v>0</v>
      </c>
      <c r="Q159" s="606">
        <f t="shared" si="104"/>
        <v>0</v>
      </c>
      <c r="R159" s="607">
        <f t="shared" si="104"/>
        <v>0</v>
      </c>
      <c r="S159" s="427">
        <f t="shared" si="104"/>
        <v>0</v>
      </c>
      <c r="T159" s="427">
        <f t="shared" si="104"/>
        <v>0</v>
      </c>
      <c r="U159" s="608">
        <f t="shared" si="104"/>
        <v>0</v>
      </c>
      <c r="V159" s="427" t="e">
        <f t="shared" si="88"/>
        <v>#DIV/0!</v>
      </c>
      <c r="W159" s="427"/>
      <c r="X159" s="522"/>
      <c r="Y159" s="522"/>
    </row>
    <row r="160" spans="1:27" ht="22.5" customHeight="1" thickTop="1" thickBot="1" x14ac:dyDescent="0.3">
      <c r="A160" s="425">
        <v>1</v>
      </c>
      <c r="B160" s="505" t="s">
        <v>216</v>
      </c>
      <c r="C160" s="505" t="s">
        <v>216</v>
      </c>
      <c r="D160" s="505" t="s">
        <v>231</v>
      </c>
      <c r="E160" s="505" t="s">
        <v>243</v>
      </c>
      <c r="F160" s="505" t="s">
        <v>332</v>
      </c>
      <c r="G160" s="505" t="s">
        <v>305</v>
      </c>
      <c r="H160" s="505" t="s">
        <v>216</v>
      </c>
      <c r="I160" s="505"/>
      <c r="J160" s="505"/>
      <c r="K160" s="502" t="s">
        <v>350</v>
      </c>
      <c r="L160" s="427"/>
      <c r="M160" s="427"/>
      <c r="N160" s="427"/>
      <c r="O160" s="426">
        <f>+L160+M160-N160</f>
        <v>0</v>
      </c>
      <c r="P160" s="605"/>
      <c r="Q160" s="606"/>
      <c r="R160" s="607"/>
      <c r="S160" s="427"/>
      <c r="T160" s="427"/>
      <c r="U160" s="608"/>
      <c r="V160" s="737">
        <v>0</v>
      </c>
      <c r="W160" s="427"/>
      <c r="X160" s="522"/>
      <c r="Y160" s="522"/>
      <c r="Z160" s="738">
        <f t="shared" ref="Z160:Z162" si="105">SUBTOTAL(9,P160:S160)</f>
        <v>0</v>
      </c>
      <c r="AA160" s="739">
        <f t="shared" ref="AA160:AA162" si="106">+Z160-O160</f>
        <v>0</v>
      </c>
    </row>
    <row r="161" spans="1:27" ht="22.5" customHeight="1" thickTop="1" thickBot="1" x14ac:dyDescent="0.3">
      <c r="A161" s="425">
        <v>1</v>
      </c>
      <c r="B161" s="505" t="s">
        <v>216</v>
      </c>
      <c r="C161" s="505" t="s">
        <v>216</v>
      </c>
      <c r="D161" s="505" t="s">
        <v>231</v>
      </c>
      <c r="E161" s="505" t="s">
        <v>243</v>
      </c>
      <c r="F161" s="505" t="s">
        <v>332</v>
      </c>
      <c r="G161" s="505" t="s">
        <v>305</v>
      </c>
      <c r="H161" s="505" t="s">
        <v>227</v>
      </c>
      <c r="I161" s="505"/>
      <c r="J161" s="505"/>
      <c r="K161" s="502" t="s">
        <v>351</v>
      </c>
      <c r="L161" s="427"/>
      <c r="M161" s="427"/>
      <c r="N161" s="427"/>
      <c r="O161" s="426">
        <f>+L161+M161-N161</f>
        <v>0</v>
      </c>
      <c r="P161" s="605"/>
      <c r="Q161" s="606"/>
      <c r="R161" s="607"/>
      <c r="S161" s="427"/>
      <c r="T161" s="427"/>
      <c r="U161" s="608"/>
      <c r="V161" s="737">
        <v>0</v>
      </c>
      <c r="W161" s="427"/>
      <c r="X161" s="522"/>
      <c r="Y161" s="522"/>
      <c r="Z161" s="738">
        <f t="shared" si="105"/>
        <v>0</v>
      </c>
      <c r="AA161" s="739">
        <f t="shared" si="106"/>
        <v>0</v>
      </c>
    </row>
    <row r="162" spans="1:27" ht="22.5" customHeight="1" thickTop="1" thickBot="1" x14ac:dyDescent="0.3">
      <c r="A162" s="425">
        <v>1</v>
      </c>
      <c r="B162" s="505" t="s">
        <v>216</v>
      </c>
      <c r="C162" s="505" t="s">
        <v>216</v>
      </c>
      <c r="D162" s="505" t="s">
        <v>231</v>
      </c>
      <c r="E162" s="505" t="s">
        <v>243</v>
      </c>
      <c r="F162" s="505" t="s">
        <v>332</v>
      </c>
      <c r="G162" s="505" t="s">
        <v>305</v>
      </c>
      <c r="H162" s="505" t="s">
        <v>229</v>
      </c>
      <c r="I162" s="505"/>
      <c r="J162" s="505"/>
      <c r="K162" s="502" t="s">
        <v>352</v>
      </c>
      <c r="L162" s="427"/>
      <c r="M162" s="427"/>
      <c r="N162" s="427"/>
      <c r="O162" s="426">
        <f>+L162+M162-N162</f>
        <v>0</v>
      </c>
      <c r="P162" s="605"/>
      <c r="Q162" s="606"/>
      <c r="R162" s="607"/>
      <c r="S162" s="427"/>
      <c r="T162" s="427"/>
      <c r="U162" s="608"/>
      <c r="V162" s="737">
        <v>0</v>
      </c>
      <c r="W162" s="427"/>
      <c r="X162" s="522"/>
      <c r="Y162" s="522"/>
      <c r="Z162" s="738">
        <f t="shared" si="105"/>
        <v>0</v>
      </c>
      <c r="AA162" s="739">
        <f t="shared" si="106"/>
        <v>0</v>
      </c>
    </row>
    <row r="163" spans="1:27" ht="22.5" customHeight="1" thickTop="1" thickBot="1" x14ac:dyDescent="0.3">
      <c r="A163" s="425">
        <v>1</v>
      </c>
      <c r="B163" s="505" t="s">
        <v>216</v>
      </c>
      <c r="C163" s="505" t="s">
        <v>216</v>
      </c>
      <c r="D163" s="505" t="s">
        <v>231</v>
      </c>
      <c r="E163" s="505" t="s">
        <v>243</v>
      </c>
      <c r="F163" s="505" t="s">
        <v>332</v>
      </c>
      <c r="G163" s="505" t="s">
        <v>313</v>
      </c>
      <c r="H163" s="505"/>
      <c r="I163" s="505"/>
      <c r="J163" s="505"/>
      <c r="K163" s="502" t="s">
        <v>353</v>
      </c>
      <c r="L163" s="427">
        <f>SUM(L164:L166)</f>
        <v>0</v>
      </c>
      <c r="M163" s="427">
        <f t="shared" ref="M163:U163" si="107">SUM(M164:M166)</f>
        <v>0</v>
      </c>
      <c r="N163" s="427">
        <f t="shared" si="107"/>
        <v>0</v>
      </c>
      <c r="O163" s="427">
        <f t="shared" si="107"/>
        <v>0</v>
      </c>
      <c r="P163" s="605">
        <f t="shared" si="107"/>
        <v>0</v>
      </c>
      <c r="Q163" s="606">
        <f t="shared" si="107"/>
        <v>0</v>
      </c>
      <c r="R163" s="607">
        <f t="shared" si="107"/>
        <v>0</v>
      </c>
      <c r="S163" s="427">
        <f t="shared" si="107"/>
        <v>0</v>
      </c>
      <c r="T163" s="427">
        <f t="shared" si="107"/>
        <v>0</v>
      </c>
      <c r="U163" s="608">
        <f t="shared" si="107"/>
        <v>0</v>
      </c>
      <c r="V163" s="427" t="e">
        <f t="shared" si="88"/>
        <v>#DIV/0!</v>
      </c>
      <c r="W163" s="427"/>
      <c r="X163" s="522"/>
      <c r="Y163" s="522"/>
    </row>
    <row r="164" spans="1:27" ht="22.5" customHeight="1" thickTop="1" thickBot="1" x14ac:dyDescent="0.3">
      <c r="A164" s="425">
        <v>1</v>
      </c>
      <c r="B164" s="505" t="s">
        <v>216</v>
      </c>
      <c r="C164" s="505" t="s">
        <v>216</v>
      </c>
      <c r="D164" s="505" t="s">
        <v>231</v>
      </c>
      <c r="E164" s="505" t="s">
        <v>243</v>
      </c>
      <c r="F164" s="505" t="s">
        <v>332</v>
      </c>
      <c r="G164" s="505" t="s">
        <v>313</v>
      </c>
      <c r="H164" s="505" t="s">
        <v>216</v>
      </c>
      <c r="I164" s="505"/>
      <c r="J164" s="505"/>
      <c r="K164" s="502" t="s">
        <v>354</v>
      </c>
      <c r="L164" s="427"/>
      <c r="M164" s="427"/>
      <c r="N164" s="427"/>
      <c r="O164" s="426">
        <f>+L164+M164-N164</f>
        <v>0</v>
      </c>
      <c r="P164" s="605"/>
      <c r="Q164" s="606"/>
      <c r="R164" s="607"/>
      <c r="S164" s="427"/>
      <c r="T164" s="427"/>
      <c r="U164" s="608"/>
      <c r="V164" s="737">
        <v>0</v>
      </c>
      <c r="W164" s="427"/>
      <c r="X164" s="522"/>
      <c r="Y164" s="522"/>
      <c r="Z164" s="738">
        <f t="shared" ref="Z164:Z166" si="108">SUBTOTAL(9,P164:S164)</f>
        <v>0</v>
      </c>
      <c r="AA164" s="739">
        <f t="shared" ref="AA164:AA166" si="109">+Z164-O164</f>
        <v>0</v>
      </c>
    </row>
    <row r="165" spans="1:27" ht="22.5" customHeight="1" thickTop="1" thickBot="1" x14ac:dyDescent="0.3">
      <c r="A165" s="425">
        <v>1</v>
      </c>
      <c r="B165" s="505" t="s">
        <v>216</v>
      </c>
      <c r="C165" s="505" t="s">
        <v>216</v>
      </c>
      <c r="D165" s="505" t="s">
        <v>231</v>
      </c>
      <c r="E165" s="505" t="s">
        <v>243</v>
      </c>
      <c r="F165" s="505" t="s">
        <v>332</v>
      </c>
      <c r="G165" s="505" t="s">
        <v>313</v>
      </c>
      <c r="H165" s="505" t="s">
        <v>227</v>
      </c>
      <c r="I165" s="505"/>
      <c r="J165" s="505"/>
      <c r="K165" s="502" t="s">
        <v>355</v>
      </c>
      <c r="L165" s="427"/>
      <c r="M165" s="427"/>
      <c r="N165" s="427"/>
      <c r="O165" s="426">
        <f>+L165+M165-N165</f>
        <v>0</v>
      </c>
      <c r="P165" s="605"/>
      <c r="Q165" s="606"/>
      <c r="R165" s="607"/>
      <c r="S165" s="427"/>
      <c r="T165" s="427"/>
      <c r="U165" s="608"/>
      <c r="V165" s="737">
        <v>0</v>
      </c>
      <c r="W165" s="427"/>
      <c r="X165" s="522"/>
      <c r="Y165" s="522"/>
      <c r="Z165" s="738">
        <f t="shared" si="108"/>
        <v>0</v>
      </c>
      <c r="AA165" s="739">
        <f t="shared" si="109"/>
        <v>0</v>
      </c>
    </row>
    <row r="166" spans="1:27" ht="22.5" customHeight="1" thickTop="1" thickBot="1" x14ac:dyDescent="0.3">
      <c r="A166" s="425">
        <v>1</v>
      </c>
      <c r="B166" s="505" t="s">
        <v>216</v>
      </c>
      <c r="C166" s="505" t="s">
        <v>216</v>
      </c>
      <c r="D166" s="505" t="s">
        <v>231</v>
      </c>
      <c r="E166" s="505" t="s">
        <v>243</v>
      </c>
      <c r="F166" s="505" t="s">
        <v>332</v>
      </c>
      <c r="G166" s="505" t="s">
        <v>313</v>
      </c>
      <c r="H166" s="505" t="s">
        <v>229</v>
      </c>
      <c r="I166" s="505"/>
      <c r="J166" s="505"/>
      <c r="K166" s="502" t="s">
        <v>356</v>
      </c>
      <c r="L166" s="427"/>
      <c r="M166" s="427"/>
      <c r="N166" s="427"/>
      <c r="O166" s="426">
        <f>+L166+M166-N166</f>
        <v>0</v>
      </c>
      <c r="P166" s="605"/>
      <c r="Q166" s="606"/>
      <c r="R166" s="607"/>
      <c r="S166" s="427"/>
      <c r="T166" s="427"/>
      <c r="U166" s="608"/>
      <c r="V166" s="737">
        <v>0</v>
      </c>
      <c r="W166" s="427"/>
      <c r="X166" s="522"/>
      <c r="Y166" s="522"/>
      <c r="Z166" s="738">
        <f t="shared" si="108"/>
        <v>0</v>
      </c>
      <c r="AA166" s="739">
        <f t="shared" si="109"/>
        <v>0</v>
      </c>
    </row>
    <row r="167" spans="1:27" ht="22.5" customHeight="1" thickTop="1" thickBot="1" x14ac:dyDescent="0.3">
      <c r="A167" s="425">
        <v>1</v>
      </c>
      <c r="B167" s="505" t="s">
        <v>216</v>
      </c>
      <c r="C167" s="505" t="s">
        <v>216</v>
      </c>
      <c r="D167" s="505" t="s">
        <v>231</v>
      </c>
      <c r="E167" s="505" t="s">
        <v>243</v>
      </c>
      <c r="F167" s="505" t="s">
        <v>332</v>
      </c>
      <c r="G167" s="505" t="s">
        <v>243</v>
      </c>
      <c r="H167" s="505"/>
      <c r="I167" s="505"/>
      <c r="J167" s="505"/>
      <c r="K167" s="502" t="s">
        <v>357</v>
      </c>
      <c r="L167" s="427">
        <f>SUM(L168:L170)</f>
        <v>0</v>
      </c>
      <c r="M167" s="427">
        <f t="shared" ref="M167:U167" si="110">SUM(M168:M170)</f>
        <v>0</v>
      </c>
      <c r="N167" s="427">
        <f t="shared" si="110"/>
        <v>0</v>
      </c>
      <c r="O167" s="427">
        <f t="shared" si="110"/>
        <v>0</v>
      </c>
      <c r="P167" s="605">
        <f t="shared" si="110"/>
        <v>0</v>
      </c>
      <c r="Q167" s="606">
        <f t="shared" si="110"/>
        <v>0</v>
      </c>
      <c r="R167" s="607">
        <f t="shared" si="110"/>
        <v>0</v>
      </c>
      <c r="S167" s="427">
        <f t="shared" si="110"/>
        <v>0</v>
      </c>
      <c r="T167" s="427">
        <f t="shared" si="110"/>
        <v>0</v>
      </c>
      <c r="U167" s="608">
        <f t="shared" si="110"/>
        <v>0</v>
      </c>
      <c r="V167" s="427" t="e">
        <f t="shared" si="88"/>
        <v>#DIV/0!</v>
      </c>
      <c r="W167" s="427"/>
      <c r="X167" s="522"/>
      <c r="Y167" s="522"/>
    </row>
    <row r="168" spans="1:27" ht="22.5" customHeight="1" thickTop="1" thickBot="1" x14ac:dyDescent="0.3">
      <c r="A168" s="425">
        <v>1</v>
      </c>
      <c r="B168" s="505" t="s">
        <v>216</v>
      </c>
      <c r="C168" s="505" t="s">
        <v>216</v>
      </c>
      <c r="D168" s="505" t="s">
        <v>231</v>
      </c>
      <c r="E168" s="505" t="s">
        <v>243</v>
      </c>
      <c r="F168" s="505" t="s">
        <v>332</v>
      </c>
      <c r="G168" s="505" t="s">
        <v>243</v>
      </c>
      <c r="H168" s="505" t="s">
        <v>216</v>
      </c>
      <c r="I168" s="505"/>
      <c r="J168" s="505"/>
      <c r="K168" s="502" t="s">
        <v>358</v>
      </c>
      <c r="L168" s="427"/>
      <c r="M168" s="427"/>
      <c r="N168" s="427"/>
      <c r="O168" s="426">
        <f>+L168+M168-N168</f>
        <v>0</v>
      </c>
      <c r="P168" s="605"/>
      <c r="Q168" s="606"/>
      <c r="R168" s="607"/>
      <c r="S168" s="427"/>
      <c r="T168" s="427"/>
      <c r="U168" s="608"/>
      <c r="V168" s="737">
        <v>0</v>
      </c>
      <c r="W168" s="427"/>
      <c r="X168" s="522"/>
      <c r="Y168" s="522"/>
      <c r="Z168" s="738">
        <f t="shared" ref="Z168:Z170" si="111">SUBTOTAL(9,P168:S168)</f>
        <v>0</v>
      </c>
      <c r="AA168" s="739">
        <f t="shared" ref="AA168:AA170" si="112">+Z168-O168</f>
        <v>0</v>
      </c>
    </row>
    <row r="169" spans="1:27" ht="22.5" customHeight="1" thickTop="1" thickBot="1" x14ac:dyDescent="0.3">
      <c r="A169" s="425">
        <v>1</v>
      </c>
      <c r="B169" s="505" t="s">
        <v>216</v>
      </c>
      <c r="C169" s="505" t="s">
        <v>216</v>
      </c>
      <c r="D169" s="505" t="s">
        <v>231</v>
      </c>
      <c r="E169" s="505" t="s">
        <v>243</v>
      </c>
      <c r="F169" s="505" t="s">
        <v>332</v>
      </c>
      <c r="G169" s="505" t="s">
        <v>243</v>
      </c>
      <c r="H169" s="505" t="s">
        <v>227</v>
      </c>
      <c r="I169" s="505"/>
      <c r="J169" s="505"/>
      <c r="K169" s="502" t="s">
        <v>359</v>
      </c>
      <c r="L169" s="427"/>
      <c r="M169" s="427"/>
      <c r="N169" s="427"/>
      <c r="O169" s="426">
        <f>+L169+M169-N169</f>
        <v>0</v>
      </c>
      <c r="P169" s="605"/>
      <c r="Q169" s="606"/>
      <c r="R169" s="607"/>
      <c r="S169" s="427"/>
      <c r="T169" s="427"/>
      <c r="U169" s="608"/>
      <c r="V169" s="737">
        <v>0</v>
      </c>
      <c r="W169" s="427"/>
      <c r="X169" s="522"/>
      <c r="Y169" s="522"/>
      <c r="Z169" s="738">
        <f t="shared" si="111"/>
        <v>0</v>
      </c>
      <c r="AA169" s="739">
        <f t="shared" si="112"/>
        <v>0</v>
      </c>
    </row>
    <row r="170" spans="1:27" ht="22.5" customHeight="1" thickTop="1" thickBot="1" x14ac:dyDescent="0.3">
      <c r="A170" s="425">
        <v>1</v>
      </c>
      <c r="B170" s="505" t="s">
        <v>216</v>
      </c>
      <c r="C170" s="505" t="s">
        <v>216</v>
      </c>
      <c r="D170" s="505" t="s">
        <v>231</v>
      </c>
      <c r="E170" s="505" t="s">
        <v>243</v>
      </c>
      <c r="F170" s="505" t="s">
        <v>332</v>
      </c>
      <c r="G170" s="505" t="s">
        <v>243</v>
      </c>
      <c r="H170" s="505" t="s">
        <v>229</v>
      </c>
      <c r="I170" s="505"/>
      <c r="J170" s="505"/>
      <c r="K170" s="502" t="s">
        <v>360</v>
      </c>
      <c r="L170" s="427"/>
      <c r="M170" s="427"/>
      <c r="N170" s="427"/>
      <c r="O170" s="426">
        <f>+L170+M170-N170</f>
        <v>0</v>
      </c>
      <c r="P170" s="605"/>
      <c r="Q170" s="606"/>
      <c r="R170" s="607"/>
      <c r="S170" s="427"/>
      <c r="T170" s="427"/>
      <c r="U170" s="608"/>
      <c r="V170" s="737">
        <v>0</v>
      </c>
      <c r="W170" s="427"/>
      <c r="X170" s="522"/>
      <c r="Y170" s="522"/>
      <c r="Z170" s="738">
        <f t="shared" si="111"/>
        <v>0</v>
      </c>
      <c r="AA170" s="739">
        <f t="shared" si="112"/>
        <v>0</v>
      </c>
    </row>
    <row r="171" spans="1:27" ht="22.5" customHeight="1" thickTop="1" thickBot="1" x14ac:dyDescent="0.3">
      <c r="A171" s="425">
        <v>1</v>
      </c>
      <c r="B171" s="505" t="s">
        <v>216</v>
      </c>
      <c r="C171" s="505" t="s">
        <v>216</v>
      </c>
      <c r="D171" s="505" t="s">
        <v>231</v>
      </c>
      <c r="E171" s="505" t="s">
        <v>243</v>
      </c>
      <c r="F171" s="505" t="s">
        <v>332</v>
      </c>
      <c r="G171" s="505" t="s">
        <v>361</v>
      </c>
      <c r="H171" s="505"/>
      <c r="I171" s="505"/>
      <c r="J171" s="505"/>
      <c r="K171" s="502" t="s">
        <v>362</v>
      </c>
      <c r="L171" s="427">
        <f>SUM(L172:L174)</f>
        <v>0</v>
      </c>
      <c r="M171" s="427">
        <f t="shared" ref="M171:U171" si="113">SUM(M172:M174)</f>
        <v>0</v>
      </c>
      <c r="N171" s="427">
        <f t="shared" si="113"/>
        <v>0</v>
      </c>
      <c r="O171" s="427">
        <f t="shared" si="113"/>
        <v>0</v>
      </c>
      <c r="P171" s="605">
        <f t="shared" si="113"/>
        <v>0</v>
      </c>
      <c r="Q171" s="606">
        <f t="shared" si="113"/>
        <v>0</v>
      </c>
      <c r="R171" s="607">
        <f t="shared" si="113"/>
        <v>0</v>
      </c>
      <c r="S171" s="427">
        <f t="shared" si="113"/>
        <v>0</v>
      </c>
      <c r="T171" s="427">
        <f t="shared" si="113"/>
        <v>0</v>
      </c>
      <c r="U171" s="608">
        <f t="shared" si="113"/>
        <v>0</v>
      </c>
      <c r="V171" s="427" t="e">
        <f t="shared" si="88"/>
        <v>#DIV/0!</v>
      </c>
      <c r="W171" s="427"/>
      <c r="X171" s="522"/>
      <c r="Y171" s="522"/>
    </row>
    <row r="172" spans="1:27" ht="39" customHeight="1" thickTop="1" thickBot="1" x14ac:dyDescent="0.3">
      <c r="A172" s="425">
        <v>1</v>
      </c>
      <c r="B172" s="505" t="s">
        <v>216</v>
      </c>
      <c r="C172" s="505" t="s">
        <v>216</v>
      </c>
      <c r="D172" s="505" t="s">
        <v>231</v>
      </c>
      <c r="E172" s="505" t="s">
        <v>243</v>
      </c>
      <c r="F172" s="505" t="s">
        <v>332</v>
      </c>
      <c r="G172" s="505" t="s">
        <v>361</v>
      </c>
      <c r="H172" s="505" t="s">
        <v>216</v>
      </c>
      <c r="I172" s="505"/>
      <c r="J172" s="505"/>
      <c r="K172" s="609" t="s">
        <v>388</v>
      </c>
      <c r="L172" s="610"/>
      <c r="M172" s="610"/>
      <c r="N172" s="610"/>
      <c r="O172" s="426">
        <f>+L172+M172-N172</f>
        <v>0</v>
      </c>
      <c r="P172" s="605"/>
      <c r="Q172" s="606"/>
      <c r="R172" s="607"/>
      <c r="S172" s="427"/>
      <c r="T172" s="427"/>
      <c r="U172" s="608"/>
      <c r="V172" s="737">
        <v>0</v>
      </c>
      <c r="W172" s="427"/>
      <c r="X172" s="522"/>
      <c r="Y172" s="522"/>
      <c r="Z172" s="738">
        <f t="shared" ref="Z172:Z174" si="114">SUBTOTAL(9,P172:S172)</f>
        <v>0</v>
      </c>
      <c r="AA172" s="739">
        <f t="shared" ref="AA172:AA174" si="115">+Z172-O172</f>
        <v>0</v>
      </c>
    </row>
    <row r="173" spans="1:27" ht="33.75" customHeight="1" thickTop="1" thickBot="1" x14ac:dyDescent="0.3">
      <c r="A173" s="425">
        <v>1</v>
      </c>
      <c r="B173" s="505" t="s">
        <v>216</v>
      </c>
      <c r="C173" s="505" t="s">
        <v>216</v>
      </c>
      <c r="D173" s="505" t="s">
        <v>231</v>
      </c>
      <c r="E173" s="505" t="s">
        <v>243</v>
      </c>
      <c r="F173" s="505" t="s">
        <v>332</v>
      </c>
      <c r="G173" s="505" t="s">
        <v>361</v>
      </c>
      <c r="H173" s="505" t="s">
        <v>227</v>
      </c>
      <c r="I173" s="505"/>
      <c r="J173" s="505"/>
      <c r="K173" s="609" t="s">
        <v>364</v>
      </c>
      <c r="L173" s="610"/>
      <c r="M173" s="610"/>
      <c r="N173" s="610"/>
      <c r="O173" s="426">
        <f>+L173+M173-N173</f>
        <v>0</v>
      </c>
      <c r="P173" s="605"/>
      <c r="Q173" s="606"/>
      <c r="R173" s="607"/>
      <c r="S173" s="427"/>
      <c r="T173" s="427"/>
      <c r="U173" s="608"/>
      <c r="V173" s="737">
        <v>0</v>
      </c>
      <c r="W173" s="427"/>
      <c r="X173" s="522"/>
      <c r="Y173" s="522"/>
      <c r="Z173" s="738">
        <f t="shared" si="114"/>
        <v>0</v>
      </c>
      <c r="AA173" s="739">
        <f t="shared" si="115"/>
        <v>0</v>
      </c>
    </row>
    <row r="174" spans="1:27" ht="38.25" customHeight="1" thickTop="1" thickBot="1" x14ac:dyDescent="0.3">
      <c r="A174" s="425">
        <v>1</v>
      </c>
      <c r="B174" s="505" t="s">
        <v>216</v>
      </c>
      <c r="C174" s="505" t="s">
        <v>216</v>
      </c>
      <c r="D174" s="505" t="s">
        <v>231</v>
      </c>
      <c r="E174" s="505" t="s">
        <v>243</v>
      </c>
      <c r="F174" s="505" t="s">
        <v>332</v>
      </c>
      <c r="G174" s="505" t="s">
        <v>361</v>
      </c>
      <c r="H174" s="505" t="s">
        <v>229</v>
      </c>
      <c r="I174" s="505"/>
      <c r="J174" s="505"/>
      <c r="K174" s="609" t="s">
        <v>365</v>
      </c>
      <c r="L174" s="610"/>
      <c r="M174" s="610"/>
      <c r="N174" s="610"/>
      <c r="O174" s="426">
        <f>+L174+M174-N174</f>
        <v>0</v>
      </c>
      <c r="P174" s="605"/>
      <c r="Q174" s="606"/>
      <c r="R174" s="607"/>
      <c r="S174" s="427"/>
      <c r="T174" s="427"/>
      <c r="U174" s="608"/>
      <c r="V174" s="737">
        <v>0</v>
      </c>
      <c r="W174" s="427"/>
      <c r="X174" s="522"/>
      <c r="Y174" s="522"/>
      <c r="Z174" s="738">
        <f t="shared" si="114"/>
        <v>0</v>
      </c>
      <c r="AA174" s="739">
        <f t="shared" si="115"/>
        <v>0</v>
      </c>
    </row>
    <row r="175" spans="1:27" ht="22.5" customHeight="1" thickTop="1" thickBot="1" x14ac:dyDescent="0.3">
      <c r="A175" s="425">
        <v>1</v>
      </c>
      <c r="B175" s="505" t="s">
        <v>216</v>
      </c>
      <c r="C175" s="505" t="s">
        <v>216</v>
      </c>
      <c r="D175" s="505" t="s">
        <v>231</v>
      </c>
      <c r="E175" s="505" t="s">
        <v>243</v>
      </c>
      <c r="F175" s="505" t="s">
        <v>332</v>
      </c>
      <c r="G175" s="505" t="s">
        <v>366</v>
      </c>
      <c r="H175" s="505"/>
      <c r="I175" s="505"/>
      <c r="J175" s="505"/>
      <c r="K175" s="502" t="s">
        <v>367</v>
      </c>
      <c r="L175" s="427">
        <f>SUM(L176:L178)</f>
        <v>0</v>
      </c>
      <c r="M175" s="427">
        <f t="shared" ref="M175:U175" si="116">SUM(M176:M178)</f>
        <v>0</v>
      </c>
      <c r="N175" s="427">
        <f t="shared" si="116"/>
        <v>0</v>
      </c>
      <c r="O175" s="427">
        <f t="shared" si="116"/>
        <v>0</v>
      </c>
      <c r="P175" s="605">
        <f t="shared" si="116"/>
        <v>0</v>
      </c>
      <c r="Q175" s="606">
        <f t="shared" si="116"/>
        <v>0</v>
      </c>
      <c r="R175" s="607">
        <f t="shared" si="116"/>
        <v>0</v>
      </c>
      <c r="S175" s="427">
        <f t="shared" si="116"/>
        <v>0</v>
      </c>
      <c r="T175" s="427">
        <f t="shared" si="116"/>
        <v>0</v>
      </c>
      <c r="U175" s="608">
        <f t="shared" si="116"/>
        <v>0</v>
      </c>
      <c r="V175" s="427" t="e">
        <f t="shared" si="88"/>
        <v>#DIV/0!</v>
      </c>
      <c r="W175" s="427"/>
      <c r="X175" s="522"/>
      <c r="Y175" s="522"/>
    </row>
    <row r="176" spans="1:27" ht="22.5" customHeight="1" thickTop="1" thickBot="1" x14ac:dyDescent="0.3">
      <c r="A176" s="425">
        <v>1</v>
      </c>
      <c r="B176" s="505" t="s">
        <v>216</v>
      </c>
      <c r="C176" s="505" t="s">
        <v>216</v>
      </c>
      <c r="D176" s="505" t="s">
        <v>231</v>
      </c>
      <c r="E176" s="505" t="s">
        <v>243</v>
      </c>
      <c r="F176" s="505" t="s">
        <v>332</v>
      </c>
      <c r="G176" s="505" t="s">
        <v>366</v>
      </c>
      <c r="H176" s="505" t="s">
        <v>216</v>
      </c>
      <c r="I176" s="505"/>
      <c r="J176" s="505"/>
      <c r="K176" s="502" t="s">
        <v>369</v>
      </c>
      <c r="L176" s="427"/>
      <c r="M176" s="427"/>
      <c r="N176" s="427"/>
      <c r="O176" s="426">
        <f>+L176+M176-N176</f>
        <v>0</v>
      </c>
      <c r="P176" s="605"/>
      <c r="Q176" s="606"/>
      <c r="R176" s="607"/>
      <c r="S176" s="427"/>
      <c r="T176" s="427"/>
      <c r="U176" s="608"/>
      <c r="V176" s="737">
        <v>0</v>
      </c>
      <c r="W176" s="427"/>
      <c r="X176" s="522"/>
      <c r="Y176" s="522"/>
      <c r="Z176" s="738">
        <f t="shared" ref="Z176:Z178" si="117">SUBTOTAL(9,P176:S176)</f>
        <v>0</v>
      </c>
      <c r="AA176" s="739">
        <f t="shared" ref="AA176:AA178" si="118">+Z176-O176</f>
        <v>0</v>
      </c>
    </row>
    <row r="177" spans="1:27" ht="22.5" customHeight="1" thickTop="1" thickBot="1" x14ac:dyDescent="0.3">
      <c r="A177" s="425">
        <v>1</v>
      </c>
      <c r="B177" s="505" t="s">
        <v>216</v>
      </c>
      <c r="C177" s="505" t="s">
        <v>216</v>
      </c>
      <c r="D177" s="505" t="s">
        <v>231</v>
      </c>
      <c r="E177" s="505" t="s">
        <v>243</v>
      </c>
      <c r="F177" s="505" t="s">
        <v>332</v>
      </c>
      <c r="G177" s="505" t="s">
        <v>366</v>
      </c>
      <c r="H177" s="505" t="s">
        <v>227</v>
      </c>
      <c r="I177" s="505"/>
      <c r="J177" s="505"/>
      <c r="K177" s="502" t="s">
        <v>368</v>
      </c>
      <c r="L177" s="427"/>
      <c r="M177" s="427"/>
      <c r="N177" s="427"/>
      <c r="O177" s="426">
        <f>+L177+M177-N177</f>
        <v>0</v>
      </c>
      <c r="P177" s="605"/>
      <c r="Q177" s="606"/>
      <c r="R177" s="607"/>
      <c r="S177" s="427"/>
      <c r="T177" s="427"/>
      <c r="U177" s="608"/>
      <c r="V177" s="737">
        <v>0</v>
      </c>
      <c r="W177" s="427"/>
      <c r="X177" s="522"/>
      <c r="Y177" s="522"/>
      <c r="Z177" s="738">
        <f t="shared" si="117"/>
        <v>0</v>
      </c>
      <c r="AA177" s="739">
        <f t="shared" si="118"/>
        <v>0</v>
      </c>
    </row>
    <row r="178" spans="1:27" ht="22.5" customHeight="1" thickTop="1" thickBot="1" x14ac:dyDescent="0.3">
      <c r="A178" s="425">
        <v>1</v>
      </c>
      <c r="B178" s="505" t="s">
        <v>216</v>
      </c>
      <c r="C178" s="505" t="s">
        <v>216</v>
      </c>
      <c r="D178" s="505" t="s">
        <v>231</v>
      </c>
      <c r="E178" s="505" t="s">
        <v>243</v>
      </c>
      <c r="F178" s="505" t="s">
        <v>332</v>
      </c>
      <c r="G178" s="505" t="s">
        <v>366</v>
      </c>
      <c r="H178" s="505" t="s">
        <v>229</v>
      </c>
      <c r="I178" s="505"/>
      <c r="J178" s="505"/>
      <c r="K178" s="502" t="s">
        <v>370</v>
      </c>
      <c r="L178" s="427"/>
      <c r="M178" s="427"/>
      <c r="N178" s="427"/>
      <c r="O178" s="426">
        <f>+L178+M178-N178</f>
        <v>0</v>
      </c>
      <c r="P178" s="605"/>
      <c r="Q178" s="606"/>
      <c r="R178" s="607"/>
      <c r="S178" s="427"/>
      <c r="T178" s="427"/>
      <c r="U178" s="608"/>
      <c r="V178" s="737">
        <v>0</v>
      </c>
      <c r="W178" s="427"/>
      <c r="X178" s="522"/>
      <c r="Y178" s="522"/>
      <c r="Z178" s="738">
        <f t="shared" si="117"/>
        <v>0</v>
      </c>
      <c r="AA178" s="739">
        <f t="shared" si="118"/>
        <v>0</v>
      </c>
    </row>
    <row r="179" spans="1:27" ht="22.5" customHeight="1" thickTop="1" thickBot="1" x14ac:dyDescent="0.3">
      <c r="A179" s="425">
        <v>1</v>
      </c>
      <c r="B179" s="505" t="s">
        <v>216</v>
      </c>
      <c r="C179" s="505" t="s">
        <v>216</v>
      </c>
      <c r="D179" s="505" t="s">
        <v>231</v>
      </c>
      <c r="E179" s="505" t="s">
        <v>243</v>
      </c>
      <c r="F179" s="505" t="s">
        <v>332</v>
      </c>
      <c r="G179" s="505" t="s">
        <v>371</v>
      </c>
      <c r="H179" s="505"/>
      <c r="I179" s="505"/>
      <c r="J179" s="505"/>
      <c r="K179" s="502" t="s">
        <v>372</v>
      </c>
      <c r="L179" s="427">
        <f>SUM(L180:L182)</f>
        <v>0</v>
      </c>
      <c r="M179" s="427">
        <f t="shared" ref="M179:U179" si="119">SUM(M180:M182)</f>
        <v>0</v>
      </c>
      <c r="N179" s="427">
        <f t="shared" si="119"/>
        <v>0</v>
      </c>
      <c r="O179" s="427">
        <f t="shared" si="119"/>
        <v>0</v>
      </c>
      <c r="P179" s="605">
        <f t="shared" si="119"/>
        <v>0</v>
      </c>
      <c r="Q179" s="606">
        <f t="shared" si="119"/>
        <v>0</v>
      </c>
      <c r="R179" s="607">
        <f t="shared" si="119"/>
        <v>0</v>
      </c>
      <c r="S179" s="427">
        <f t="shared" si="119"/>
        <v>0</v>
      </c>
      <c r="T179" s="427">
        <f t="shared" si="119"/>
        <v>0</v>
      </c>
      <c r="U179" s="608">
        <f t="shared" si="119"/>
        <v>0</v>
      </c>
      <c r="V179" s="427" t="e">
        <f t="shared" si="88"/>
        <v>#DIV/0!</v>
      </c>
      <c r="W179" s="427"/>
      <c r="X179" s="522"/>
      <c r="Y179" s="522"/>
    </row>
    <row r="180" spans="1:27" ht="22.5" customHeight="1" thickTop="1" thickBot="1" x14ac:dyDescent="0.3">
      <c r="A180" s="425">
        <v>1</v>
      </c>
      <c r="B180" s="505" t="s">
        <v>216</v>
      </c>
      <c r="C180" s="505" t="s">
        <v>216</v>
      </c>
      <c r="D180" s="505" t="s">
        <v>231</v>
      </c>
      <c r="E180" s="505" t="s">
        <v>243</v>
      </c>
      <c r="F180" s="505" t="s">
        <v>332</v>
      </c>
      <c r="G180" s="505" t="s">
        <v>371</v>
      </c>
      <c r="H180" s="505" t="s">
        <v>216</v>
      </c>
      <c r="I180" s="505"/>
      <c r="J180" s="505"/>
      <c r="K180" s="502" t="s">
        <v>373</v>
      </c>
      <c r="L180" s="427"/>
      <c r="M180" s="427"/>
      <c r="N180" s="427"/>
      <c r="O180" s="426">
        <f>+L180+M180-N180</f>
        <v>0</v>
      </c>
      <c r="P180" s="605"/>
      <c r="Q180" s="606"/>
      <c r="R180" s="607"/>
      <c r="S180" s="427"/>
      <c r="T180" s="427"/>
      <c r="U180" s="608"/>
      <c r="V180" s="737">
        <v>0</v>
      </c>
      <c r="W180" s="427"/>
      <c r="X180" s="522"/>
      <c r="Y180" s="522"/>
      <c r="Z180" s="738">
        <f t="shared" ref="Z180:Z182" si="120">SUBTOTAL(9,P180:S180)</f>
        <v>0</v>
      </c>
      <c r="AA180" s="739">
        <f t="shared" ref="AA180:AA182" si="121">+Z180-O180</f>
        <v>0</v>
      </c>
    </row>
    <row r="181" spans="1:27" ht="22.5" customHeight="1" thickTop="1" thickBot="1" x14ac:dyDescent="0.3">
      <c r="A181" s="425">
        <v>1</v>
      </c>
      <c r="B181" s="505" t="s">
        <v>216</v>
      </c>
      <c r="C181" s="505" t="s">
        <v>216</v>
      </c>
      <c r="D181" s="505" t="s">
        <v>231</v>
      </c>
      <c r="E181" s="505" t="s">
        <v>243</v>
      </c>
      <c r="F181" s="505" t="s">
        <v>332</v>
      </c>
      <c r="G181" s="505" t="s">
        <v>371</v>
      </c>
      <c r="H181" s="505" t="s">
        <v>227</v>
      </c>
      <c r="I181" s="505"/>
      <c r="J181" s="505"/>
      <c r="K181" s="502" t="s">
        <v>374</v>
      </c>
      <c r="L181" s="427"/>
      <c r="M181" s="427"/>
      <c r="N181" s="427"/>
      <c r="O181" s="426">
        <f>+L181+M181-N181</f>
        <v>0</v>
      </c>
      <c r="P181" s="605"/>
      <c r="Q181" s="606"/>
      <c r="R181" s="607"/>
      <c r="S181" s="427"/>
      <c r="T181" s="427"/>
      <c r="U181" s="608"/>
      <c r="V181" s="737">
        <v>0</v>
      </c>
      <c r="W181" s="427"/>
      <c r="X181" s="522"/>
      <c r="Y181" s="522"/>
      <c r="Z181" s="738">
        <f t="shared" si="120"/>
        <v>0</v>
      </c>
      <c r="AA181" s="739">
        <f t="shared" si="121"/>
        <v>0</v>
      </c>
    </row>
    <row r="182" spans="1:27" ht="22.5" customHeight="1" thickTop="1" thickBot="1" x14ac:dyDescent="0.3">
      <c r="A182" s="425">
        <v>1</v>
      </c>
      <c r="B182" s="505" t="s">
        <v>216</v>
      </c>
      <c r="C182" s="505" t="s">
        <v>216</v>
      </c>
      <c r="D182" s="505" t="s">
        <v>231</v>
      </c>
      <c r="E182" s="505" t="s">
        <v>243</v>
      </c>
      <c r="F182" s="505" t="s">
        <v>332</v>
      </c>
      <c r="G182" s="505" t="s">
        <v>371</v>
      </c>
      <c r="H182" s="505" t="s">
        <v>229</v>
      </c>
      <c r="I182" s="505"/>
      <c r="J182" s="505"/>
      <c r="K182" s="502" t="s">
        <v>389</v>
      </c>
      <c r="L182" s="427"/>
      <c r="M182" s="427"/>
      <c r="N182" s="427"/>
      <c r="O182" s="426">
        <f>+L182+M182-N182</f>
        <v>0</v>
      </c>
      <c r="P182" s="605"/>
      <c r="Q182" s="606"/>
      <c r="R182" s="607"/>
      <c r="S182" s="427"/>
      <c r="T182" s="427"/>
      <c r="U182" s="608"/>
      <c r="V182" s="737">
        <v>0</v>
      </c>
      <c r="W182" s="427"/>
      <c r="X182" s="522"/>
      <c r="Y182" s="522"/>
      <c r="Z182" s="738">
        <f t="shared" si="120"/>
        <v>0</v>
      </c>
      <c r="AA182" s="739">
        <f t="shared" si="121"/>
        <v>0</v>
      </c>
    </row>
    <row r="183" spans="1:27" ht="22.5" customHeight="1" thickTop="1" thickBot="1" x14ac:dyDescent="0.3">
      <c r="A183" s="425">
        <v>1</v>
      </c>
      <c r="B183" s="505" t="s">
        <v>216</v>
      </c>
      <c r="C183" s="505" t="s">
        <v>216</v>
      </c>
      <c r="D183" s="505" t="s">
        <v>231</v>
      </c>
      <c r="E183" s="505" t="s">
        <v>243</v>
      </c>
      <c r="F183" s="505" t="s">
        <v>332</v>
      </c>
      <c r="G183" s="505" t="s">
        <v>376</v>
      </c>
      <c r="H183" s="505"/>
      <c r="I183" s="505"/>
      <c r="J183" s="505"/>
      <c r="K183" s="502" t="s">
        <v>377</v>
      </c>
      <c r="L183" s="427">
        <f>SUM(L184:L186)</f>
        <v>0</v>
      </c>
      <c r="M183" s="427">
        <f t="shared" ref="M183:U183" si="122">SUM(M184:M186)</f>
        <v>0</v>
      </c>
      <c r="N183" s="427">
        <f t="shared" si="122"/>
        <v>0</v>
      </c>
      <c r="O183" s="427">
        <f t="shared" si="122"/>
        <v>0</v>
      </c>
      <c r="P183" s="605">
        <f t="shared" si="122"/>
        <v>0</v>
      </c>
      <c r="Q183" s="606">
        <f t="shared" si="122"/>
        <v>0</v>
      </c>
      <c r="R183" s="607">
        <f t="shared" si="122"/>
        <v>0</v>
      </c>
      <c r="S183" s="427">
        <f t="shared" si="122"/>
        <v>0</v>
      </c>
      <c r="T183" s="427">
        <f t="shared" si="122"/>
        <v>0</v>
      </c>
      <c r="U183" s="608">
        <f t="shared" si="122"/>
        <v>0</v>
      </c>
      <c r="V183" s="427" t="e">
        <f t="shared" si="88"/>
        <v>#DIV/0!</v>
      </c>
      <c r="W183" s="427"/>
      <c r="X183" s="522"/>
      <c r="Y183" s="522"/>
    </row>
    <row r="184" spans="1:27" ht="22.5" customHeight="1" thickTop="1" thickBot="1" x14ac:dyDescent="0.3">
      <c r="A184" s="425">
        <v>1</v>
      </c>
      <c r="B184" s="505" t="s">
        <v>216</v>
      </c>
      <c r="C184" s="505" t="s">
        <v>216</v>
      </c>
      <c r="D184" s="505" t="s">
        <v>231</v>
      </c>
      <c r="E184" s="505" t="s">
        <v>243</v>
      </c>
      <c r="F184" s="505" t="s">
        <v>332</v>
      </c>
      <c r="G184" s="505" t="s">
        <v>376</v>
      </c>
      <c r="H184" s="505" t="s">
        <v>216</v>
      </c>
      <c r="I184" s="505"/>
      <c r="J184" s="505"/>
      <c r="K184" s="502" t="s">
        <v>378</v>
      </c>
      <c r="L184" s="427"/>
      <c r="M184" s="427"/>
      <c r="N184" s="427"/>
      <c r="O184" s="426">
        <f>+L184+M184-N184</f>
        <v>0</v>
      </c>
      <c r="P184" s="605"/>
      <c r="Q184" s="606"/>
      <c r="R184" s="607"/>
      <c r="S184" s="427"/>
      <c r="T184" s="427"/>
      <c r="U184" s="608"/>
      <c r="V184" s="737">
        <v>0</v>
      </c>
      <c r="W184" s="427"/>
      <c r="X184" s="522"/>
      <c r="Y184" s="522"/>
      <c r="Z184" s="738">
        <f t="shared" ref="Z184:Z186" si="123">SUBTOTAL(9,P184:S184)</f>
        <v>0</v>
      </c>
      <c r="AA184" s="739">
        <f t="shared" ref="AA184:AA186" si="124">+Z184-O184</f>
        <v>0</v>
      </c>
    </row>
    <row r="185" spans="1:27" ht="22.5" customHeight="1" thickTop="1" thickBot="1" x14ac:dyDescent="0.3">
      <c r="A185" s="425">
        <v>1</v>
      </c>
      <c r="B185" s="505" t="s">
        <v>216</v>
      </c>
      <c r="C185" s="505" t="s">
        <v>216</v>
      </c>
      <c r="D185" s="505" t="s">
        <v>231</v>
      </c>
      <c r="E185" s="505" t="s">
        <v>243</v>
      </c>
      <c r="F185" s="505" t="s">
        <v>332</v>
      </c>
      <c r="G185" s="505" t="s">
        <v>376</v>
      </c>
      <c r="H185" s="505" t="s">
        <v>227</v>
      </c>
      <c r="I185" s="505"/>
      <c r="J185" s="505"/>
      <c r="K185" s="502" t="s">
        <v>379</v>
      </c>
      <c r="L185" s="427"/>
      <c r="M185" s="427"/>
      <c r="N185" s="427"/>
      <c r="O185" s="426">
        <f>+L185+M185-N185</f>
        <v>0</v>
      </c>
      <c r="P185" s="605"/>
      <c r="Q185" s="606"/>
      <c r="R185" s="607"/>
      <c r="S185" s="427"/>
      <c r="T185" s="427"/>
      <c r="U185" s="608"/>
      <c r="V185" s="737">
        <v>0</v>
      </c>
      <c r="W185" s="427"/>
      <c r="X185" s="522"/>
      <c r="Y185" s="522"/>
      <c r="Z185" s="738">
        <f t="shared" si="123"/>
        <v>0</v>
      </c>
      <c r="AA185" s="739">
        <f t="shared" si="124"/>
        <v>0</v>
      </c>
    </row>
    <row r="186" spans="1:27" ht="16.5" thickTop="1" thickBot="1" x14ac:dyDescent="0.3">
      <c r="A186" s="425">
        <v>1</v>
      </c>
      <c r="B186" s="505" t="s">
        <v>216</v>
      </c>
      <c r="C186" s="505" t="s">
        <v>216</v>
      </c>
      <c r="D186" s="505" t="s">
        <v>231</v>
      </c>
      <c r="E186" s="505" t="s">
        <v>243</v>
      </c>
      <c r="F186" s="505" t="s">
        <v>332</v>
      </c>
      <c r="G186" s="505" t="s">
        <v>376</v>
      </c>
      <c r="H186" s="505" t="s">
        <v>229</v>
      </c>
      <c r="I186" s="505"/>
      <c r="J186" s="505"/>
      <c r="K186" s="502" t="s">
        <v>380</v>
      </c>
      <c r="L186" s="427"/>
      <c r="M186" s="427"/>
      <c r="N186" s="427"/>
      <c r="O186" s="426">
        <f>+L186+M186-N186</f>
        <v>0</v>
      </c>
      <c r="P186" s="605"/>
      <c r="Q186" s="606"/>
      <c r="R186" s="607"/>
      <c r="S186" s="427"/>
      <c r="T186" s="427"/>
      <c r="U186" s="608"/>
      <c r="V186" s="737">
        <v>0</v>
      </c>
      <c r="W186" s="427"/>
      <c r="X186" s="522"/>
      <c r="Y186" s="522"/>
      <c r="Z186" s="738">
        <f t="shared" si="123"/>
        <v>0</v>
      </c>
      <c r="AA186" s="739">
        <f t="shared" si="124"/>
        <v>0</v>
      </c>
    </row>
    <row r="187" spans="1:27" ht="16.5" thickTop="1" thickBot="1" x14ac:dyDescent="0.3">
      <c r="A187" s="425">
        <v>1</v>
      </c>
      <c r="B187" s="505" t="s">
        <v>216</v>
      </c>
      <c r="C187" s="505" t="s">
        <v>216</v>
      </c>
      <c r="D187" s="505" t="s">
        <v>231</v>
      </c>
      <c r="E187" s="505" t="s">
        <v>361</v>
      </c>
      <c r="F187" s="505"/>
      <c r="G187" s="505"/>
      <c r="H187" s="505"/>
      <c r="I187" s="505"/>
      <c r="J187" s="505"/>
      <c r="K187" s="501" t="s">
        <v>390</v>
      </c>
      <c r="L187" s="426">
        <f>+L188+L199+L205+L219+L223</f>
        <v>0</v>
      </c>
      <c r="M187" s="427">
        <f t="shared" ref="M187:U187" si="125">+M188+M199+M205+M219+M223</f>
        <v>0</v>
      </c>
      <c r="N187" s="427">
        <f t="shared" si="125"/>
        <v>0</v>
      </c>
      <c r="O187" s="427">
        <f t="shared" si="125"/>
        <v>0</v>
      </c>
      <c r="P187" s="605">
        <f t="shared" si="125"/>
        <v>0</v>
      </c>
      <c r="Q187" s="606">
        <f t="shared" si="125"/>
        <v>0</v>
      </c>
      <c r="R187" s="607">
        <f t="shared" si="125"/>
        <v>0</v>
      </c>
      <c r="S187" s="427">
        <f t="shared" si="125"/>
        <v>0</v>
      </c>
      <c r="T187" s="427">
        <f t="shared" si="125"/>
        <v>0</v>
      </c>
      <c r="U187" s="608">
        <f t="shared" si="125"/>
        <v>0</v>
      </c>
      <c r="V187" s="427" t="e">
        <f t="shared" si="88"/>
        <v>#DIV/0!</v>
      </c>
      <c r="W187" s="427"/>
      <c r="X187" s="522"/>
      <c r="Y187" s="522"/>
    </row>
    <row r="188" spans="1:27" ht="16.5" thickTop="1" thickBot="1" x14ac:dyDescent="0.3">
      <c r="A188" s="425">
        <v>1</v>
      </c>
      <c r="B188" s="505" t="s">
        <v>216</v>
      </c>
      <c r="C188" s="505" t="s">
        <v>216</v>
      </c>
      <c r="D188" s="505" t="s">
        <v>231</v>
      </c>
      <c r="E188" s="505" t="s">
        <v>361</v>
      </c>
      <c r="F188" s="505" t="s">
        <v>391</v>
      </c>
      <c r="G188" s="505"/>
      <c r="H188" s="505"/>
      <c r="I188" s="505"/>
      <c r="J188" s="505"/>
      <c r="K188" s="501" t="s">
        <v>392</v>
      </c>
      <c r="L188" s="426">
        <f>+L189+L194</f>
        <v>0</v>
      </c>
      <c r="M188" s="426">
        <f t="shared" ref="M188:U188" si="126">+M189+M194</f>
        <v>0</v>
      </c>
      <c r="N188" s="426">
        <f t="shared" si="126"/>
        <v>0</v>
      </c>
      <c r="O188" s="426">
        <f t="shared" si="126"/>
        <v>0</v>
      </c>
      <c r="P188" s="602">
        <f t="shared" si="126"/>
        <v>0</v>
      </c>
      <c r="Q188" s="603">
        <f t="shared" si="126"/>
        <v>0</v>
      </c>
      <c r="R188" s="604">
        <f t="shared" si="126"/>
        <v>0</v>
      </c>
      <c r="S188" s="426">
        <f t="shared" si="126"/>
        <v>0</v>
      </c>
      <c r="T188" s="426">
        <f t="shared" si="126"/>
        <v>0</v>
      </c>
      <c r="U188" s="601">
        <f t="shared" si="126"/>
        <v>0</v>
      </c>
      <c r="V188" s="426" t="e">
        <f t="shared" si="88"/>
        <v>#DIV/0!</v>
      </c>
      <c r="W188" s="426"/>
      <c r="X188" s="522"/>
      <c r="Y188" s="522"/>
    </row>
    <row r="189" spans="1:27" ht="16.5" thickTop="1" thickBot="1" x14ac:dyDescent="0.3">
      <c r="A189" s="425">
        <v>1</v>
      </c>
      <c r="B189" s="505" t="s">
        <v>216</v>
      </c>
      <c r="C189" s="505" t="s">
        <v>216</v>
      </c>
      <c r="D189" s="505" t="s">
        <v>231</v>
      </c>
      <c r="E189" s="505" t="s">
        <v>361</v>
      </c>
      <c r="F189" s="505" t="s">
        <v>391</v>
      </c>
      <c r="G189" s="505" t="s">
        <v>220</v>
      </c>
      <c r="H189" s="505"/>
      <c r="I189" s="505"/>
      <c r="J189" s="505"/>
      <c r="K189" s="502" t="s">
        <v>393</v>
      </c>
      <c r="L189" s="427">
        <f>+L190</f>
        <v>0</v>
      </c>
      <c r="M189" s="427">
        <f t="shared" ref="M189:U189" si="127">+M190</f>
        <v>0</v>
      </c>
      <c r="N189" s="427">
        <f t="shared" si="127"/>
        <v>0</v>
      </c>
      <c r="O189" s="427">
        <f t="shared" si="127"/>
        <v>0</v>
      </c>
      <c r="P189" s="605">
        <f t="shared" si="127"/>
        <v>0</v>
      </c>
      <c r="Q189" s="606">
        <f t="shared" si="127"/>
        <v>0</v>
      </c>
      <c r="R189" s="607">
        <f t="shared" si="127"/>
        <v>0</v>
      </c>
      <c r="S189" s="427">
        <f t="shared" si="127"/>
        <v>0</v>
      </c>
      <c r="T189" s="427">
        <f t="shared" si="127"/>
        <v>0</v>
      </c>
      <c r="U189" s="608">
        <f t="shared" si="127"/>
        <v>0</v>
      </c>
      <c r="V189" s="427" t="e">
        <f t="shared" si="88"/>
        <v>#DIV/0!</v>
      </c>
      <c r="W189" s="427"/>
      <c r="X189" s="522"/>
      <c r="Y189" s="522"/>
    </row>
    <row r="190" spans="1:27" ht="16.5" thickTop="1" thickBot="1" x14ac:dyDescent="0.3">
      <c r="A190" s="425">
        <v>1</v>
      </c>
      <c r="B190" s="505" t="s">
        <v>216</v>
      </c>
      <c r="C190" s="505" t="s">
        <v>216</v>
      </c>
      <c r="D190" s="505" t="s">
        <v>231</v>
      </c>
      <c r="E190" s="505" t="s">
        <v>361</v>
      </c>
      <c r="F190" s="505" t="s">
        <v>391</v>
      </c>
      <c r="G190" s="505" t="s">
        <v>220</v>
      </c>
      <c r="H190" s="505" t="s">
        <v>394</v>
      </c>
      <c r="I190" s="505"/>
      <c r="J190" s="505"/>
      <c r="K190" s="502" t="s">
        <v>395</v>
      </c>
      <c r="L190" s="427">
        <f>SUM(L191:L193)</f>
        <v>0</v>
      </c>
      <c r="M190" s="427">
        <f t="shared" ref="M190:U190" si="128">SUM(M191:M193)</f>
        <v>0</v>
      </c>
      <c r="N190" s="427">
        <f t="shared" si="128"/>
        <v>0</v>
      </c>
      <c r="O190" s="427">
        <f t="shared" si="128"/>
        <v>0</v>
      </c>
      <c r="P190" s="605">
        <f t="shared" si="128"/>
        <v>0</v>
      </c>
      <c r="Q190" s="606">
        <f t="shared" si="128"/>
        <v>0</v>
      </c>
      <c r="R190" s="607">
        <f t="shared" si="128"/>
        <v>0</v>
      </c>
      <c r="S190" s="427">
        <f t="shared" si="128"/>
        <v>0</v>
      </c>
      <c r="T190" s="427">
        <f t="shared" si="128"/>
        <v>0</v>
      </c>
      <c r="U190" s="608">
        <f t="shared" si="128"/>
        <v>0</v>
      </c>
      <c r="V190" s="427" t="e">
        <f t="shared" si="88"/>
        <v>#DIV/0!</v>
      </c>
      <c r="W190" s="427"/>
      <c r="X190" s="522"/>
      <c r="Y190" s="522"/>
    </row>
    <row r="191" spans="1:27" ht="22.5" customHeight="1" thickTop="1" thickBot="1" x14ac:dyDescent="0.3">
      <c r="A191" s="425">
        <v>1</v>
      </c>
      <c r="B191" s="505" t="s">
        <v>216</v>
      </c>
      <c r="C191" s="505" t="s">
        <v>216</v>
      </c>
      <c r="D191" s="505" t="s">
        <v>231</v>
      </c>
      <c r="E191" s="505" t="s">
        <v>361</v>
      </c>
      <c r="F191" s="505" t="s">
        <v>391</v>
      </c>
      <c r="G191" s="505" t="s">
        <v>220</v>
      </c>
      <c r="H191" s="505" t="s">
        <v>394</v>
      </c>
      <c r="I191" s="505" t="s">
        <v>216</v>
      </c>
      <c r="J191" s="505"/>
      <c r="K191" s="502" t="s">
        <v>396</v>
      </c>
      <c r="L191" s="427"/>
      <c r="M191" s="427"/>
      <c r="N191" s="427"/>
      <c r="O191" s="426">
        <f>+L191+M191-N191</f>
        <v>0</v>
      </c>
      <c r="P191" s="605"/>
      <c r="Q191" s="606"/>
      <c r="R191" s="607"/>
      <c r="S191" s="427"/>
      <c r="T191" s="427"/>
      <c r="U191" s="608"/>
      <c r="V191" s="737">
        <v>0</v>
      </c>
      <c r="W191" s="427"/>
      <c r="X191" s="522"/>
      <c r="Y191" s="522"/>
      <c r="Z191" s="738">
        <f t="shared" ref="Z191:Z193" si="129">SUBTOTAL(9,P191:S191)</f>
        <v>0</v>
      </c>
      <c r="AA191" s="739">
        <f t="shared" ref="AA191:AA193" si="130">+Z191-O191</f>
        <v>0</v>
      </c>
    </row>
    <row r="192" spans="1:27" ht="22.5" customHeight="1" thickTop="1" thickBot="1" x14ac:dyDescent="0.3">
      <c r="A192" s="425">
        <v>1</v>
      </c>
      <c r="B192" s="505" t="s">
        <v>216</v>
      </c>
      <c r="C192" s="505" t="s">
        <v>216</v>
      </c>
      <c r="D192" s="505" t="s">
        <v>231</v>
      </c>
      <c r="E192" s="505" t="s">
        <v>361</v>
      </c>
      <c r="F192" s="505" t="s">
        <v>391</v>
      </c>
      <c r="G192" s="505" t="s">
        <v>220</v>
      </c>
      <c r="H192" s="505" t="s">
        <v>394</v>
      </c>
      <c r="I192" s="505" t="s">
        <v>227</v>
      </c>
      <c r="J192" s="505"/>
      <c r="K192" s="502" t="s">
        <v>397</v>
      </c>
      <c r="L192" s="427"/>
      <c r="M192" s="427"/>
      <c r="N192" s="427"/>
      <c r="O192" s="426">
        <f>+L192+M192-N192</f>
        <v>0</v>
      </c>
      <c r="P192" s="605"/>
      <c r="Q192" s="606"/>
      <c r="R192" s="607"/>
      <c r="S192" s="427"/>
      <c r="T192" s="427"/>
      <c r="U192" s="608"/>
      <c r="V192" s="737">
        <v>0</v>
      </c>
      <c r="W192" s="427"/>
      <c r="X192" s="522"/>
      <c r="Y192" s="522"/>
      <c r="Z192" s="738">
        <f t="shared" si="129"/>
        <v>0</v>
      </c>
      <c r="AA192" s="739">
        <f t="shared" si="130"/>
        <v>0</v>
      </c>
    </row>
    <row r="193" spans="1:27" ht="22.5" customHeight="1" thickTop="1" thickBot="1" x14ac:dyDescent="0.3">
      <c r="A193" s="425">
        <v>1</v>
      </c>
      <c r="B193" s="505" t="s">
        <v>216</v>
      </c>
      <c r="C193" s="505" t="s">
        <v>216</v>
      </c>
      <c r="D193" s="505" t="s">
        <v>231</v>
      </c>
      <c r="E193" s="505" t="s">
        <v>361</v>
      </c>
      <c r="F193" s="505" t="s">
        <v>391</v>
      </c>
      <c r="G193" s="505" t="s">
        <v>220</v>
      </c>
      <c r="H193" s="505" t="s">
        <v>394</v>
      </c>
      <c r="I193" s="505" t="s">
        <v>229</v>
      </c>
      <c r="J193" s="505"/>
      <c r="K193" s="502" t="s">
        <v>398</v>
      </c>
      <c r="L193" s="427"/>
      <c r="M193" s="427"/>
      <c r="N193" s="427"/>
      <c r="O193" s="426">
        <f>+L193+M193-N193</f>
        <v>0</v>
      </c>
      <c r="P193" s="605"/>
      <c r="Q193" s="606"/>
      <c r="R193" s="607"/>
      <c r="S193" s="427"/>
      <c r="T193" s="427"/>
      <c r="U193" s="608"/>
      <c r="V193" s="737">
        <v>0</v>
      </c>
      <c r="W193" s="427"/>
      <c r="X193" s="522"/>
      <c r="Y193" s="522"/>
      <c r="Z193" s="738">
        <f t="shared" si="129"/>
        <v>0</v>
      </c>
      <c r="AA193" s="739">
        <f t="shared" si="130"/>
        <v>0</v>
      </c>
    </row>
    <row r="194" spans="1:27" ht="22.5" customHeight="1" thickTop="1" thickBot="1" x14ac:dyDescent="0.3">
      <c r="A194" s="425">
        <v>1</v>
      </c>
      <c r="B194" s="505" t="s">
        <v>216</v>
      </c>
      <c r="C194" s="505" t="s">
        <v>216</v>
      </c>
      <c r="D194" s="505" t="s">
        <v>231</v>
      </c>
      <c r="E194" s="505" t="s">
        <v>361</v>
      </c>
      <c r="F194" s="505" t="s">
        <v>391</v>
      </c>
      <c r="G194" s="505" t="s">
        <v>305</v>
      </c>
      <c r="H194" s="505"/>
      <c r="I194" s="505"/>
      <c r="J194" s="505"/>
      <c r="K194" s="502" t="s">
        <v>399</v>
      </c>
      <c r="L194" s="427">
        <f>+L195</f>
        <v>0</v>
      </c>
      <c r="M194" s="427">
        <f t="shared" ref="M194:U194" si="131">+M195</f>
        <v>0</v>
      </c>
      <c r="N194" s="427">
        <f t="shared" si="131"/>
        <v>0</v>
      </c>
      <c r="O194" s="427">
        <f t="shared" si="131"/>
        <v>0</v>
      </c>
      <c r="P194" s="605">
        <f t="shared" si="131"/>
        <v>0</v>
      </c>
      <c r="Q194" s="606">
        <f t="shared" si="131"/>
        <v>0</v>
      </c>
      <c r="R194" s="607">
        <f t="shared" si="131"/>
        <v>0</v>
      </c>
      <c r="S194" s="427">
        <f t="shared" si="131"/>
        <v>0</v>
      </c>
      <c r="T194" s="427">
        <f t="shared" si="131"/>
        <v>0</v>
      </c>
      <c r="U194" s="608">
        <f t="shared" si="131"/>
        <v>0</v>
      </c>
      <c r="V194" s="427" t="e">
        <f t="shared" si="88"/>
        <v>#DIV/0!</v>
      </c>
      <c r="W194" s="427"/>
      <c r="X194" s="522"/>
      <c r="Y194" s="522"/>
    </row>
    <row r="195" spans="1:27" ht="22.5" customHeight="1" thickTop="1" thickBot="1" x14ac:dyDescent="0.3">
      <c r="A195" s="425">
        <v>1</v>
      </c>
      <c r="B195" s="505" t="s">
        <v>216</v>
      </c>
      <c r="C195" s="505" t="s">
        <v>216</v>
      </c>
      <c r="D195" s="505" t="s">
        <v>231</v>
      </c>
      <c r="E195" s="505" t="s">
        <v>361</v>
      </c>
      <c r="F195" s="505" t="s">
        <v>391</v>
      </c>
      <c r="G195" s="505" t="s">
        <v>305</v>
      </c>
      <c r="H195" s="505" t="s">
        <v>305</v>
      </c>
      <c r="I195" s="505"/>
      <c r="J195" s="505"/>
      <c r="K195" s="502" t="s">
        <v>400</v>
      </c>
      <c r="L195" s="427">
        <f>SUM(L196:L198)</f>
        <v>0</v>
      </c>
      <c r="M195" s="427">
        <f t="shared" ref="M195:U195" si="132">SUM(M196:M198)</f>
        <v>0</v>
      </c>
      <c r="N195" s="427">
        <f t="shared" si="132"/>
        <v>0</v>
      </c>
      <c r="O195" s="427">
        <f t="shared" si="132"/>
        <v>0</v>
      </c>
      <c r="P195" s="605">
        <f t="shared" si="132"/>
        <v>0</v>
      </c>
      <c r="Q195" s="606">
        <f t="shared" si="132"/>
        <v>0</v>
      </c>
      <c r="R195" s="607">
        <f t="shared" si="132"/>
        <v>0</v>
      </c>
      <c r="S195" s="427">
        <f t="shared" si="132"/>
        <v>0</v>
      </c>
      <c r="T195" s="427">
        <f t="shared" si="132"/>
        <v>0</v>
      </c>
      <c r="U195" s="608">
        <f t="shared" si="132"/>
        <v>0</v>
      </c>
      <c r="V195" s="427" t="e">
        <f t="shared" si="88"/>
        <v>#DIV/0!</v>
      </c>
      <c r="W195" s="427"/>
      <c r="X195" s="522"/>
      <c r="Y195" s="522"/>
    </row>
    <row r="196" spans="1:27" ht="22.5" customHeight="1" thickTop="1" thickBot="1" x14ac:dyDescent="0.3">
      <c r="A196" s="425">
        <v>1</v>
      </c>
      <c r="B196" s="505" t="s">
        <v>216</v>
      </c>
      <c r="C196" s="505" t="s">
        <v>216</v>
      </c>
      <c r="D196" s="505" t="s">
        <v>231</v>
      </c>
      <c r="E196" s="505" t="s">
        <v>361</v>
      </c>
      <c r="F196" s="505" t="s">
        <v>391</v>
      </c>
      <c r="G196" s="505" t="s">
        <v>305</v>
      </c>
      <c r="H196" s="505" t="s">
        <v>305</v>
      </c>
      <c r="I196" s="505" t="s">
        <v>216</v>
      </c>
      <c r="J196" s="505"/>
      <c r="K196" s="502" t="s">
        <v>401</v>
      </c>
      <c r="L196" s="427"/>
      <c r="M196" s="427"/>
      <c r="N196" s="427"/>
      <c r="O196" s="426">
        <f>+L196+M196-N196</f>
        <v>0</v>
      </c>
      <c r="P196" s="605"/>
      <c r="Q196" s="606"/>
      <c r="R196" s="607"/>
      <c r="S196" s="427"/>
      <c r="T196" s="427"/>
      <c r="U196" s="608"/>
      <c r="V196" s="737">
        <v>0</v>
      </c>
      <c r="W196" s="427"/>
      <c r="X196" s="522"/>
      <c r="Y196" s="522"/>
      <c r="Z196" s="738">
        <f t="shared" ref="Z196:Z198" si="133">SUBTOTAL(9,P196:S196)</f>
        <v>0</v>
      </c>
      <c r="AA196" s="739">
        <f t="shared" ref="AA196:AA198" si="134">+Z196-O196</f>
        <v>0</v>
      </c>
    </row>
    <row r="197" spans="1:27" ht="22.5" customHeight="1" thickTop="1" thickBot="1" x14ac:dyDescent="0.3">
      <c r="A197" s="425">
        <v>1</v>
      </c>
      <c r="B197" s="505" t="s">
        <v>216</v>
      </c>
      <c r="C197" s="505" t="s">
        <v>216</v>
      </c>
      <c r="D197" s="505" t="s">
        <v>231</v>
      </c>
      <c r="E197" s="505" t="s">
        <v>361</v>
      </c>
      <c r="F197" s="505" t="s">
        <v>391</v>
      </c>
      <c r="G197" s="505" t="s">
        <v>305</v>
      </c>
      <c r="H197" s="505" t="s">
        <v>305</v>
      </c>
      <c r="I197" s="505" t="s">
        <v>227</v>
      </c>
      <c r="J197" s="505"/>
      <c r="K197" s="502" t="s">
        <v>402</v>
      </c>
      <c r="L197" s="427"/>
      <c r="M197" s="427"/>
      <c r="N197" s="427"/>
      <c r="O197" s="426">
        <f>+L197+M197-N197</f>
        <v>0</v>
      </c>
      <c r="P197" s="605"/>
      <c r="Q197" s="606"/>
      <c r="R197" s="607"/>
      <c r="S197" s="427"/>
      <c r="T197" s="427"/>
      <c r="U197" s="608"/>
      <c r="V197" s="737">
        <v>0</v>
      </c>
      <c r="W197" s="427"/>
      <c r="X197" s="522"/>
      <c r="Y197" s="522"/>
      <c r="Z197" s="738">
        <f t="shared" si="133"/>
        <v>0</v>
      </c>
      <c r="AA197" s="739">
        <f t="shared" si="134"/>
        <v>0</v>
      </c>
    </row>
    <row r="198" spans="1:27" ht="22.5" customHeight="1" thickTop="1" thickBot="1" x14ac:dyDescent="0.3">
      <c r="A198" s="425">
        <v>1</v>
      </c>
      <c r="B198" s="505" t="s">
        <v>216</v>
      </c>
      <c r="C198" s="505" t="s">
        <v>216</v>
      </c>
      <c r="D198" s="505" t="s">
        <v>231</v>
      </c>
      <c r="E198" s="505" t="s">
        <v>361</v>
      </c>
      <c r="F198" s="505" t="s">
        <v>391</v>
      </c>
      <c r="G198" s="505" t="s">
        <v>305</v>
      </c>
      <c r="H198" s="505" t="s">
        <v>305</v>
      </c>
      <c r="I198" s="505" t="s">
        <v>229</v>
      </c>
      <c r="J198" s="505"/>
      <c r="K198" s="502" t="s">
        <v>403</v>
      </c>
      <c r="L198" s="427"/>
      <c r="M198" s="427"/>
      <c r="N198" s="427"/>
      <c r="O198" s="426">
        <f>+L198+M198-N198</f>
        <v>0</v>
      </c>
      <c r="P198" s="605"/>
      <c r="Q198" s="606"/>
      <c r="R198" s="607"/>
      <c r="S198" s="427"/>
      <c r="T198" s="427"/>
      <c r="U198" s="608"/>
      <c r="V198" s="737">
        <v>0</v>
      </c>
      <c r="W198" s="427"/>
      <c r="X198" s="522"/>
      <c r="Y198" s="522"/>
      <c r="Z198" s="738">
        <f t="shared" si="133"/>
        <v>0</v>
      </c>
      <c r="AA198" s="739">
        <f t="shared" si="134"/>
        <v>0</v>
      </c>
    </row>
    <row r="199" spans="1:27" ht="22.5" customHeight="1" thickTop="1" thickBot="1" x14ac:dyDescent="0.3">
      <c r="A199" s="425">
        <v>1</v>
      </c>
      <c r="B199" s="425">
        <v>1</v>
      </c>
      <c r="C199" s="505" t="s">
        <v>216</v>
      </c>
      <c r="D199" s="425">
        <v>2</v>
      </c>
      <c r="E199" s="505" t="s">
        <v>361</v>
      </c>
      <c r="F199" s="505" t="s">
        <v>404</v>
      </c>
      <c r="G199" s="505"/>
      <c r="H199" s="505"/>
      <c r="I199" s="505"/>
      <c r="J199" s="505"/>
      <c r="K199" s="502" t="s">
        <v>405</v>
      </c>
      <c r="L199" s="427">
        <f>+L200</f>
        <v>0</v>
      </c>
      <c r="M199" s="427">
        <f t="shared" ref="M199:U200" si="135">+M200</f>
        <v>0</v>
      </c>
      <c r="N199" s="427">
        <f t="shared" si="135"/>
        <v>0</v>
      </c>
      <c r="O199" s="427">
        <f t="shared" si="135"/>
        <v>0</v>
      </c>
      <c r="P199" s="605">
        <f t="shared" si="135"/>
        <v>0</v>
      </c>
      <c r="Q199" s="606">
        <f t="shared" si="135"/>
        <v>0</v>
      </c>
      <c r="R199" s="607">
        <f t="shared" si="135"/>
        <v>0</v>
      </c>
      <c r="S199" s="427">
        <f t="shared" si="135"/>
        <v>0</v>
      </c>
      <c r="T199" s="427">
        <f t="shared" si="135"/>
        <v>0</v>
      </c>
      <c r="U199" s="608">
        <f t="shared" si="135"/>
        <v>0</v>
      </c>
      <c r="V199" s="427" t="e">
        <f t="shared" si="88"/>
        <v>#DIV/0!</v>
      </c>
      <c r="W199" s="427"/>
      <c r="X199" s="522"/>
      <c r="Y199" s="522"/>
    </row>
    <row r="200" spans="1:27" ht="22.5" customHeight="1" thickTop="1" thickBot="1" x14ac:dyDescent="0.3">
      <c r="A200" s="425">
        <v>1</v>
      </c>
      <c r="B200" s="425">
        <v>1</v>
      </c>
      <c r="C200" s="505" t="s">
        <v>216</v>
      </c>
      <c r="D200" s="425">
        <v>2</v>
      </c>
      <c r="E200" s="505" t="s">
        <v>361</v>
      </c>
      <c r="F200" s="505" t="s">
        <v>404</v>
      </c>
      <c r="G200" s="505" t="s">
        <v>231</v>
      </c>
      <c r="H200" s="505"/>
      <c r="I200" s="505"/>
      <c r="J200" s="505"/>
      <c r="K200" s="502" t="s">
        <v>406</v>
      </c>
      <c r="L200" s="427">
        <f>+L201</f>
        <v>0</v>
      </c>
      <c r="M200" s="427">
        <f t="shared" si="135"/>
        <v>0</v>
      </c>
      <c r="N200" s="427">
        <f t="shared" si="135"/>
        <v>0</v>
      </c>
      <c r="O200" s="427">
        <f t="shared" si="135"/>
        <v>0</v>
      </c>
      <c r="P200" s="605">
        <f t="shared" si="135"/>
        <v>0</v>
      </c>
      <c r="Q200" s="606">
        <f t="shared" si="135"/>
        <v>0</v>
      </c>
      <c r="R200" s="607">
        <f t="shared" si="135"/>
        <v>0</v>
      </c>
      <c r="S200" s="427">
        <f t="shared" si="135"/>
        <v>0</v>
      </c>
      <c r="T200" s="427">
        <f t="shared" si="135"/>
        <v>0</v>
      </c>
      <c r="U200" s="608">
        <f t="shared" si="135"/>
        <v>0</v>
      </c>
      <c r="V200" s="427" t="e">
        <f t="shared" ref="V200:V261" si="136">+U200/T200</f>
        <v>#DIV/0!</v>
      </c>
      <c r="W200" s="427"/>
      <c r="X200" s="522"/>
      <c r="Y200" s="522"/>
    </row>
    <row r="201" spans="1:27" ht="22.5" customHeight="1" thickTop="1" thickBot="1" x14ac:dyDescent="0.3">
      <c r="A201" s="425">
        <v>1</v>
      </c>
      <c r="B201" s="425">
        <v>1</v>
      </c>
      <c r="C201" s="505" t="s">
        <v>216</v>
      </c>
      <c r="D201" s="425">
        <v>2</v>
      </c>
      <c r="E201" s="505" t="s">
        <v>361</v>
      </c>
      <c r="F201" s="505" t="s">
        <v>404</v>
      </c>
      <c r="G201" s="505" t="s">
        <v>231</v>
      </c>
      <c r="H201" s="505" t="s">
        <v>305</v>
      </c>
      <c r="I201" s="505"/>
      <c r="J201" s="505"/>
      <c r="K201" s="502" t="s">
        <v>407</v>
      </c>
      <c r="L201" s="427">
        <f>SUM(L202:L204)</f>
        <v>0</v>
      </c>
      <c r="M201" s="427">
        <f t="shared" ref="M201:U201" si="137">SUM(M202:M204)</f>
        <v>0</v>
      </c>
      <c r="N201" s="427">
        <f t="shared" si="137"/>
        <v>0</v>
      </c>
      <c r="O201" s="427">
        <f t="shared" si="137"/>
        <v>0</v>
      </c>
      <c r="P201" s="605">
        <f t="shared" si="137"/>
        <v>0</v>
      </c>
      <c r="Q201" s="606">
        <f t="shared" si="137"/>
        <v>0</v>
      </c>
      <c r="R201" s="607">
        <f t="shared" si="137"/>
        <v>0</v>
      </c>
      <c r="S201" s="427">
        <f t="shared" si="137"/>
        <v>0</v>
      </c>
      <c r="T201" s="427">
        <f t="shared" si="137"/>
        <v>0</v>
      </c>
      <c r="U201" s="608">
        <f t="shared" si="137"/>
        <v>0</v>
      </c>
      <c r="V201" s="427" t="e">
        <f t="shared" si="136"/>
        <v>#DIV/0!</v>
      </c>
      <c r="W201" s="427"/>
      <c r="X201" s="522"/>
      <c r="Y201" s="522"/>
    </row>
    <row r="202" spans="1:27" ht="22.5" customHeight="1" thickTop="1" thickBot="1" x14ac:dyDescent="0.3">
      <c r="A202" s="425">
        <v>1</v>
      </c>
      <c r="B202" s="425">
        <v>1</v>
      </c>
      <c r="C202" s="505" t="s">
        <v>216</v>
      </c>
      <c r="D202" s="425">
        <v>2</v>
      </c>
      <c r="E202" s="505" t="s">
        <v>361</v>
      </c>
      <c r="F202" s="505" t="s">
        <v>404</v>
      </c>
      <c r="G202" s="505" t="s">
        <v>231</v>
      </c>
      <c r="H202" s="505" t="s">
        <v>305</v>
      </c>
      <c r="I202" s="505" t="s">
        <v>216</v>
      </c>
      <c r="J202" s="505"/>
      <c r="K202" s="502" t="s">
        <v>408</v>
      </c>
      <c r="L202" s="427"/>
      <c r="M202" s="427"/>
      <c r="N202" s="427"/>
      <c r="O202" s="426">
        <f>+L202+M202-N202</f>
        <v>0</v>
      </c>
      <c r="P202" s="605"/>
      <c r="Q202" s="606"/>
      <c r="R202" s="607"/>
      <c r="S202" s="427"/>
      <c r="T202" s="427"/>
      <c r="U202" s="608"/>
      <c r="V202" s="737">
        <v>0</v>
      </c>
      <c r="W202" s="427"/>
      <c r="X202" s="522"/>
      <c r="Y202" s="522"/>
      <c r="Z202" s="738">
        <f t="shared" ref="Z202:Z204" si="138">SUBTOTAL(9,P202:S202)</f>
        <v>0</v>
      </c>
      <c r="AA202" s="739">
        <f t="shared" ref="AA202:AA204" si="139">+Z202-O202</f>
        <v>0</v>
      </c>
    </row>
    <row r="203" spans="1:27" ht="22.5" customHeight="1" thickTop="1" thickBot="1" x14ac:dyDescent="0.3">
      <c r="A203" s="425">
        <v>1</v>
      </c>
      <c r="B203" s="425">
        <v>1</v>
      </c>
      <c r="C203" s="505" t="s">
        <v>216</v>
      </c>
      <c r="D203" s="425">
        <v>2</v>
      </c>
      <c r="E203" s="505" t="s">
        <v>361</v>
      </c>
      <c r="F203" s="505" t="s">
        <v>404</v>
      </c>
      <c r="G203" s="505" t="s">
        <v>231</v>
      </c>
      <c r="H203" s="505" t="s">
        <v>305</v>
      </c>
      <c r="I203" s="505" t="s">
        <v>227</v>
      </c>
      <c r="J203" s="505"/>
      <c r="K203" s="502" t="s">
        <v>409</v>
      </c>
      <c r="L203" s="427"/>
      <c r="M203" s="427"/>
      <c r="N203" s="427"/>
      <c r="O203" s="426">
        <f>+L203+M203-N203</f>
        <v>0</v>
      </c>
      <c r="P203" s="605"/>
      <c r="Q203" s="606"/>
      <c r="R203" s="607"/>
      <c r="S203" s="427"/>
      <c r="T203" s="427"/>
      <c r="U203" s="608"/>
      <c r="V203" s="737">
        <v>0</v>
      </c>
      <c r="W203" s="427"/>
      <c r="X203" s="522"/>
      <c r="Y203" s="522"/>
      <c r="Z203" s="738">
        <f t="shared" si="138"/>
        <v>0</v>
      </c>
      <c r="AA203" s="739">
        <f t="shared" si="139"/>
        <v>0</v>
      </c>
    </row>
    <row r="204" spans="1:27" ht="22.5" customHeight="1" thickTop="1" thickBot="1" x14ac:dyDescent="0.3">
      <c r="A204" s="425">
        <v>1</v>
      </c>
      <c r="B204" s="425">
        <v>1</v>
      </c>
      <c r="C204" s="505" t="s">
        <v>216</v>
      </c>
      <c r="D204" s="425">
        <v>2</v>
      </c>
      <c r="E204" s="505" t="s">
        <v>361</v>
      </c>
      <c r="F204" s="505" t="s">
        <v>404</v>
      </c>
      <c r="G204" s="505" t="s">
        <v>231</v>
      </c>
      <c r="H204" s="505" t="s">
        <v>305</v>
      </c>
      <c r="I204" s="505" t="s">
        <v>229</v>
      </c>
      <c r="J204" s="505"/>
      <c r="K204" s="502" t="s">
        <v>410</v>
      </c>
      <c r="L204" s="427"/>
      <c r="M204" s="427"/>
      <c r="N204" s="427"/>
      <c r="O204" s="426">
        <f>+L204+M204-N204</f>
        <v>0</v>
      </c>
      <c r="P204" s="605"/>
      <c r="Q204" s="606"/>
      <c r="R204" s="607"/>
      <c r="S204" s="427"/>
      <c r="T204" s="427"/>
      <c r="U204" s="608"/>
      <c r="V204" s="737">
        <v>0</v>
      </c>
      <c r="W204" s="427"/>
      <c r="X204" s="522"/>
      <c r="Y204" s="522"/>
      <c r="Z204" s="738">
        <f t="shared" si="138"/>
        <v>0</v>
      </c>
      <c r="AA204" s="739">
        <f t="shared" si="139"/>
        <v>0</v>
      </c>
    </row>
    <row r="205" spans="1:27" ht="22.5" customHeight="1" thickTop="1" thickBot="1" x14ac:dyDescent="0.3">
      <c r="A205" s="425">
        <v>1</v>
      </c>
      <c r="B205" s="425">
        <v>1</v>
      </c>
      <c r="C205" s="505" t="s">
        <v>216</v>
      </c>
      <c r="D205" s="425">
        <v>2</v>
      </c>
      <c r="E205" s="505" t="s">
        <v>361</v>
      </c>
      <c r="F205" s="505" t="s">
        <v>411</v>
      </c>
      <c r="G205" s="505"/>
      <c r="H205" s="505"/>
      <c r="I205" s="505"/>
      <c r="J205" s="505"/>
      <c r="K205" s="502" t="s">
        <v>412</v>
      </c>
      <c r="L205" s="427">
        <f>+L206</f>
        <v>0</v>
      </c>
      <c r="M205" s="427">
        <f t="shared" ref="M205:U205" si="140">+M206</f>
        <v>0</v>
      </c>
      <c r="N205" s="427">
        <f t="shared" si="140"/>
        <v>0</v>
      </c>
      <c r="O205" s="427">
        <f t="shared" si="140"/>
        <v>0</v>
      </c>
      <c r="P205" s="605">
        <f t="shared" si="140"/>
        <v>0</v>
      </c>
      <c r="Q205" s="606">
        <f t="shared" si="140"/>
        <v>0</v>
      </c>
      <c r="R205" s="607">
        <f t="shared" si="140"/>
        <v>0</v>
      </c>
      <c r="S205" s="427">
        <f t="shared" si="140"/>
        <v>0</v>
      </c>
      <c r="T205" s="427">
        <f t="shared" si="140"/>
        <v>0</v>
      </c>
      <c r="U205" s="608">
        <f t="shared" si="140"/>
        <v>0</v>
      </c>
      <c r="V205" s="427" t="e">
        <f t="shared" si="136"/>
        <v>#DIV/0!</v>
      </c>
      <c r="W205" s="427"/>
      <c r="X205" s="522"/>
      <c r="Y205" s="522"/>
    </row>
    <row r="206" spans="1:27" ht="22.5" customHeight="1" thickTop="1" thickBot="1" x14ac:dyDescent="0.3">
      <c r="A206" s="425">
        <v>1</v>
      </c>
      <c r="B206" s="425">
        <v>1</v>
      </c>
      <c r="C206" s="505" t="s">
        <v>216</v>
      </c>
      <c r="D206" s="425">
        <v>2</v>
      </c>
      <c r="E206" s="505" t="s">
        <v>361</v>
      </c>
      <c r="F206" s="505" t="s">
        <v>411</v>
      </c>
      <c r="G206" s="505" t="s">
        <v>220</v>
      </c>
      <c r="H206" s="505"/>
      <c r="I206" s="505"/>
      <c r="J206" s="505"/>
      <c r="K206" s="502" t="s">
        <v>413</v>
      </c>
      <c r="L206" s="427">
        <f>+L207+L211+L215</f>
        <v>0</v>
      </c>
      <c r="M206" s="427">
        <f t="shared" ref="M206:U206" si="141">+M207+M211+M215</f>
        <v>0</v>
      </c>
      <c r="N206" s="427">
        <f t="shared" si="141"/>
        <v>0</v>
      </c>
      <c r="O206" s="427">
        <f t="shared" si="141"/>
        <v>0</v>
      </c>
      <c r="P206" s="605">
        <f t="shared" si="141"/>
        <v>0</v>
      </c>
      <c r="Q206" s="606">
        <f t="shared" si="141"/>
        <v>0</v>
      </c>
      <c r="R206" s="607">
        <f t="shared" si="141"/>
        <v>0</v>
      </c>
      <c r="S206" s="427">
        <f t="shared" si="141"/>
        <v>0</v>
      </c>
      <c r="T206" s="427">
        <f t="shared" si="141"/>
        <v>0</v>
      </c>
      <c r="U206" s="608">
        <f t="shared" si="141"/>
        <v>0</v>
      </c>
      <c r="V206" s="427" t="e">
        <f t="shared" si="136"/>
        <v>#DIV/0!</v>
      </c>
      <c r="W206" s="427"/>
      <c r="X206" s="522"/>
      <c r="Y206" s="522"/>
    </row>
    <row r="207" spans="1:27" ht="22.5" customHeight="1" thickTop="1" thickBot="1" x14ac:dyDescent="0.3">
      <c r="A207" s="425">
        <v>1</v>
      </c>
      <c r="B207" s="425">
        <v>1</v>
      </c>
      <c r="C207" s="505" t="s">
        <v>216</v>
      </c>
      <c r="D207" s="425">
        <v>2</v>
      </c>
      <c r="E207" s="505" t="s">
        <v>361</v>
      </c>
      <c r="F207" s="505" t="s">
        <v>411</v>
      </c>
      <c r="G207" s="505" t="s">
        <v>220</v>
      </c>
      <c r="H207" s="505" t="s">
        <v>220</v>
      </c>
      <c r="I207" s="505"/>
      <c r="J207" s="505"/>
      <c r="K207" s="502" t="s">
        <v>414</v>
      </c>
      <c r="L207" s="427">
        <f>SUM(L208:L210)</f>
        <v>0</v>
      </c>
      <c r="M207" s="427">
        <f t="shared" ref="M207:U207" si="142">SUM(M208:M210)</f>
        <v>0</v>
      </c>
      <c r="N207" s="427">
        <f t="shared" si="142"/>
        <v>0</v>
      </c>
      <c r="O207" s="427">
        <f t="shared" si="142"/>
        <v>0</v>
      </c>
      <c r="P207" s="605">
        <f t="shared" si="142"/>
        <v>0</v>
      </c>
      <c r="Q207" s="606">
        <f t="shared" si="142"/>
        <v>0</v>
      </c>
      <c r="R207" s="607">
        <f t="shared" si="142"/>
        <v>0</v>
      </c>
      <c r="S207" s="427">
        <f t="shared" si="142"/>
        <v>0</v>
      </c>
      <c r="T207" s="427">
        <f t="shared" si="142"/>
        <v>0</v>
      </c>
      <c r="U207" s="608">
        <f t="shared" si="142"/>
        <v>0</v>
      </c>
      <c r="V207" s="427" t="e">
        <f t="shared" si="136"/>
        <v>#DIV/0!</v>
      </c>
      <c r="W207" s="427"/>
      <c r="X207" s="522"/>
      <c r="Y207" s="522"/>
    </row>
    <row r="208" spans="1:27" ht="22.5" customHeight="1" thickTop="1" thickBot="1" x14ac:dyDescent="0.3">
      <c r="A208" s="425">
        <v>1</v>
      </c>
      <c r="B208" s="425">
        <v>1</v>
      </c>
      <c r="C208" s="505" t="s">
        <v>216</v>
      </c>
      <c r="D208" s="425">
        <v>2</v>
      </c>
      <c r="E208" s="505" t="s">
        <v>361</v>
      </c>
      <c r="F208" s="505" t="s">
        <v>411</v>
      </c>
      <c r="G208" s="505" t="s">
        <v>220</v>
      </c>
      <c r="H208" s="505" t="s">
        <v>220</v>
      </c>
      <c r="I208" s="505" t="s">
        <v>216</v>
      </c>
      <c r="J208" s="505"/>
      <c r="K208" s="502" t="s">
        <v>415</v>
      </c>
      <c r="L208" s="427"/>
      <c r="M208" s="427"/>
      <c r="N208" s="427"/>
      <c r="O208" s="426">
        <f>+L208+M208-N208</f>
        <v>0</v>
      </c>
      <c r="P208" s="605"/>
      <c r="Q208" s="606"/>
      <c r="R208" s="607"/>
      <c r="S208" s="427"/>
      <c r="T208" s="427"/>
      <c r="U208" s="608"/>
      <c r="V208" s="737">
        <v>0</v>
      </c>
      <c r="W208" s="427"/>
      <c r="X208" s="522"/>
      <c r="Y208" s="522"/>
      <c r="Z208" s="738">
        <f t="shared" ref="Z208:Z210" si="143">SUBTOTAL(9,P208:S208)</f>
        <v>0</v>
      </c>
      <c r="AA208" s="739">
        <f t="shared" ref="AA208:AA210" si="144">+Z208-O208</f>
        <v>0</v>
      </c>
    </row>
    <row r="209" spans="1:27" ht="22.5" customHeight="1" thickTop="1" thickBot="1" x14ac:dyDescent="0.3">
      <c r="A209" s="425">
        <v>1</v>
      </c>
      <c r="B209" s="425">
        <v>1</v>
      </c>
      <c r="C209" s="505" t="s">
        <v>216</v>
      </c>
      <c r="D209" s="425">
        <v>2</v>
      </c>
      <c r="E209" s="505" t="s">
        <v>361</v>
      </c>
      <c r="F209" s="505" t="s">
        <v>411</v>
      </c>
      <c r="G209" s="505" t="s">
        <v>220</v>
      </c>
      <c r="H209" s="505" t="s">
        <v>220</v>
      </c>
      <c r="I209" s="505" t="s">
        <v>227</v>
      </c>
      <c r="J209" s="505"/>
      <c r="K209" s="502" t="s">
        <v>416</v>
      </c>
      <c r="L209" s="427"/>
      <c r="M209" s="427"/>
      <c r="N209" s="427"/>
      <c r="O209" s="426">
        <f>+L209+M209-N209</f>
        <v>0</v>
      </c>
      <c r="P209" s="605"/>
      <c r="Q209" s="606"/>
      <c r="R209" s="607"/>
      <c r="S209" s="427"/>
      <c r="T209" s="427"/>
      <c r="U209" s="608"/>
      <c r="V209" s="737">
        <v>0</v>
      </c>
      <c r="W209" s="427"/>
      <c r="X209" s="522"/>
      <c r="Y209" s="522"/>
      <c r="Z209" s="738">
        <f t="shared" si="143"/>
        <v>0</v>
      </c>
      <c r="AA209" s="739">
        <f t="shared" si="144"/>
        <v>0</v>
      </c>
    </row>
    <row r="210" spans="1:27" ht="22.5" customHeight="1" thickTop="1" thickBot="1" x14ac:dyDescent="0.3">
      <c r="A210" s="425">
        <v>1</v>
      </c>
      <c r="B210" s="425">
        <v>1</v>
      </c>
      <c r="C210" s="505" t="s">
        <v>216</v>
      </c>
      <c r="D210" s="425">
        <v>2</v>
      </c>
      <c r="E210" s="505" t="s">
        <v>361</v>
      </c>
      <c r="F210" s="505" t="s">
        <v>411</v>
      </c>
      <c r="G210" s="505" t="s">
        <v>220</v>
      </c>
      <c r="H210" s="505" t="s">
        <v>220</v>
      </c>
      <c r="I210" s="505" t="s">
        <v>229</v>
      </c>
      <c r="J210" s="505"/>
      <c r="K210" s="502" t="s">
        <v>417</v>
      </c>
      <c r="L210" s="427"/>
      <c r="M210" s="427"/>
      <c r="N210" s="427"/>
      <c r="O210" s="426">
        <f>+L210+M210-N210</f>
        <v>0</v>
      </c>
      <c r="P210" s="605"/>
      <c r="Q210" s="606"/>
      <c r="R210" s="607"/>
      <c r="S210" s="427"/>
      <c r="T210" s="427"/>
      <c r="U210" s="608"/>
      <c r="V210" s="737">
        <v>0</v>
      </c>
      <c r="W210" s="427"/>
      <c r="X210" s="522"/>
      <c r="Y210" s="522"/>
      <c r="Z210" s="738">
        <f t="shared" si="143"/>
        <v>0</v>
      </c>
      <c r="AA210" s="739">
        <f t="shared" si="144"/>
        <v>0</v>
      </c>
    </row>
    <row r="211" spans="1:27" ht="22.5" customHeight="1" thickTop="1" thickBot="1" x14ac:dyDescent="0.3">
      <c r="A211" s="425">
        <v>1</v>
      </c>
      <c r="B211" s="425">
        <v>1</v>
      </c>
      <c r="C211" s="505" t="s">
        <v>216</v>
      </c>
      <c r="D211" s="425">
        <v>2</v>
      </c>
      <c r="E211" s="505" t="s">
        <v>361</v>
      </c>
      <c r="F211" s="505" t="s">
        <v>411</v>
      </c>
      <c r="G211" s="505" t="s">
        <v>220</v>
      </c>
      <c r="H211" s="505" t="s">
        <v>231</v>
      </c>
      <c r="I211" s="505"/>
      <c r="J211" s="505"/>
      <c r="K211" s="502" t="s">
        <v>418</v>
      </c>
      <c r="L211" s="427">
        <f>SUM(L212:L214)</f>
        <v>0</v>
      </c>
      <c r="M211" s="427">
        <f t="shared" ref="M211:U211" si="145">SUM(M212:M214)</f>
        <v>0</v>
      </c>
      <c r="N211" s="427">
        <f t="shared" si="145"/>
        <v>0</v>
      </c>
      <c r="O211" s="427">
        <f t="shared" si="145"/>
        <v>0</v>
      </c>
      <c r="P211" s="605">
        <f t="shared" si="145"/>
        <v>0</v>
      </c>
      <c r="Q211" s="606">
        <f t="shared" si="145"/>
        <v>0</v>
      </c>
      <c r="R211" s="607">
        <f t="shared" si="145"/>
        <v>0</v>
      </c>
      <c r="S211" s="427">
        <f t="shared" si="145"/>
        <v>0</v>
      </c>
      <c r="T211" s="427">
        <f t="shared" si="145"/>
        <v>0</v>
      </c>
      <c r="U211" s="608">
        <f t="shared" si="145"/>
        <v>0</v>
      </c>
      <c r="V211" s="427" t="e">
        <f t="shared" si="136"/>
        <v>#DIV/0!</v>
      </c>
      <c r="W211" s="427"/>
      <c r="X211" s="522"/>
      <c r="Y211" s="522"/>
    </row>
    <row r="212" spans="1:27" ht="22.5" customHeight="1" thickTop="1" thickBot="1" x14ac:dyDescent="0.3">
      <c r="A212" s="425">
        <v>1</v>
      </c>
      <c r="B212" s="425">
        <v>1</v>
      </c>
      <c r="C212" s="505" t="s">
        <v>216</v>
      </c>
      <c r="D212" s="425">
        <v>2</v>
      </c>
      <c r="E212" s="505" t="s">
        <v>361</v>
      </c>
      <c r="F212" s="505" t="s">
        <v>411</v>
      </c>
      <c r="G212" s="505" t="s">
        <v>220</v>
      </c>
      <c r="H212" s="505" t="s">
        <v>231</v>
      </c>
      <c r="I212" s="505" t="s">
        <v>216</v>
      </c>
      <c r="J212" s="505"/>
      <c r="K212" s="502" t="s">
        <v>419</v>
      </c>
      <c r="L212" s="427"/>
      <c r="M212" s="427"/>
      <c r="N212" s="427"/>
      <c r="O212" s="426">
        <f>+L212+M212-N212</f>
        <v>0</v>
      </c>
      <c r="P212" s="605"/>
      <c r="Q212" s="606"/>
      <c r="R212" s="607"/>
      <c r="S212" s="427"/>
      <c r="T212" s="427"/>
      <c r="U212" s="608"/>
      <c r="V212" s="737">
        <v>0</v>
      </c>
      <c r="W212" s="427"/>
      <c r="X212" s="522"/>
      <c r="Y212" s="522"/>
      <c r="Z212" s="738">
        <f t="shared" ref="Z212:Z214" si="146">SUBTOTAL(9,P212:S212)</f>
        <v>0</v>
      </c>
      <c r="AA212" s="739">
        <f t="shared" ref="AA212:AA214" si="147">+Z212-O212</f>
        <v>0</v>
      </c>
    </row>
    <row r="213" spans="1:27" ht="22.5" customHeight="1" thickTop="1" thickBot="1" x14ac:dyDescent="0.3">
      <c r="A213" s="425">
        <v>1</v>
      </c>
      <c r="B213" s="425">
        <v>1</v>
      </c>
      <c r="C213" s="505" t="s">
        <v>216</v>
      </c>
      <c r="D213" s="425">
        <v>2</v>
      </c>
      <c r="E213" s="505" t="s">
        <v>361</v>
      </c>
      <c r="F213" s="505" t="s">
        <v>411</v>
      </c>
      <c r="G213" s="505" t="s">
        <v>220</v>
      </c>
      <c r="H213" s="505" t="s">
        <v>231</v>
      </c>
      <c r="I213" s="505" t="s">
        <v>227</v>
      </c>
      <c r="J213" s="505"/>
      <c r="K213" s="502" t="s">
        <v>420</v>
      </c>
      <c r="L213" s="427"/>
      <c r="M213" s="427"/>
      <c r="N213" s="427"/>
      <c r="O213" s="426">
        <f>+L213+M213-N213</f>
        <v>0</v>
      </c>
      <c r="P213" s="605"/>
      <c r="Q213" s="606"/>
      <c r="R213" s="607"/>
      <c r="S213" s="427"/>
      <c r="T213" s="427"/>
      <c r="U213" s="608"/>
      <c r="V213" s="737">
        <v>0</v>
      </c>
      <c r="W213" s="427"/>
      <c r="X213" s="522"/>
      <c r="Y213" s="522"/>
      <c r="Z213" s="738">
        <f t="shared" si="146"/>
        <v>0</v>
      </c>
      <c r="AA213" s="739">
        <f t="shared" si="147"/>
        <v>0</v>
      </c>
    </row>
    <row r="214" spans="1:27" ht="22.5" customHeight="1" thickTop="1" thickBot="1" x14ac:dyDescent="0.3">
      <c r="A214" s="425">
        <v>1</v>
      </c>
      <c r="B214" s="425">
        <v>1</v>
      </c>
      <c r="C214" s="505" t="s">
        <v>216</v>
      </c>
      <c r="D214" s="425">
        <v>2</v>
      </c>
      <c r="E214" s="505" t="s">
        <v>361</v>
      </c>
      <c r="F214" s="505" t="s">
        <v>411</v>
      </c>
      <c r="G214" s="505" t="s">
        <v>220</v>
      </c>
      <c r="H214" s="505" t="s">
        <v>231</v>
      </c>
      <c r="I214" s="505" t="s">
        <v>229</v>
      </c>
      <c r="J214" s="505"/>
      <c r="K214" s="502" t="s">
        <v>421</v>
      </c>
      <c r="L214" s="427"/>
      <c r="M214" s="427"/>
      <c r="N214" s="427"/>
      <c r="O214" s="426">
        <f>+L214+M214-N214</f>
        <v>0</v>
      </c>
      <c r="P214" s="605"/>
      <c r="Q214" s="606"/>
      <c r="R214" s="607"/>
      <c r="S214" s="427"/>
      <c r="T214" s="427"/>
      <c r="U214" s="608"/>
      <c r="V214" s="737">
        <v>0</v>
      </c>
      <c r="W214" s="427"/>
      <c r="X214" s="522"/>
      <c r="Y214" s="522"/>
      <c r="Z214" s="738">
        <f t="shared" si="146"/>
        <v>0</v>
      </c>
      <c r="AA214" s="739">
        <f t="shared" si="147"/>
        <v>0</v>
      </c>
    </row>
    <row r="215" spans="1:27" s="174" customFormat="1" ht="22.5" customHeight="1" thickTop="1" thickBot="1" x14ac:dyDescent="0.3">
      <c r="A215" s="425">
        <v>1</v>
      </c>
      <c r="B215" s="425">
        <v>1</v>
      </c>
      <c r="C215" s="505" t="s">
        <v>216</v>
      </c>
      <c r="D215" s="425">
        <v>2</v>
      </c>
      <c r="E215" s="505" t="s">
        <v>361</v>
      </c>
      <c r="F215" s="505" t="s">
        <v>411</v>
      </c>
      <c r="G215" s="505" t="s">
        <v>220</v>
      </c>
      <c r="H215" s="505" t="s">
        <v>305</v>
      </c>
      <c r="I215" s="505"/>
      <c r="J215" s="519"/>
      <c r="K215" s="502" t="s">
        <v>422</v>
      </c>
      <c r="L215" s="426">
        <f>SUM(L216:L218)</f>
        <v>0</v>
      </c>
      <c r="M215" s="426">
        <f t="shared" ref="M215:U215" si="148">SUM(M216:M218)</f>
        <v>0</v>
      </c>
      <c r="N215" s="426">
        <f t="shared" si="148"/>
        <v>0</v>
      </c>
      <c r="O215" s="426">
        <f t="shared" si="148"/>
        <v>0</v>
      </c>
      <c r="P215" s="602">
        <f t="shared" si="148"/>
        <v>0</v>
      </c>
      <c r="Q215" s="603">
        <f t="shared" si="148"/>
        <v>0</v>
      </c>
      <c r="R215" s="604">
        <f t="shared" si="148"/>
        <v>0</v>
      </c>
      <c r="S215" s="426">
        <f t="shared" si="148"/>
        <v>0</v>
      </c>
      <c r="T215" s="426">
        <f t="shared" si="148"/>
        <v>0</v>
      </c>
      <c r="U215" s="601">
        <f t="shared" si="148"/>
        <v>0</v>
      </c>
      <c r="V215" s="426" t="e">
        <f t="shared" si="136"/>
        <v>#DIV/0!</v>
      </c>
      <c r="W215" s="426"/>
      <c r="X215" s="522"/>
      <c r="Y215" s="522"/>
    </row>
    <row r="216" spans="1:27" s="174" customFormat="1" ht="22.5" customHeight="1" thickTop="1" thickBot="1" x14ac:dyDescent="0.3">
      <c r="A216" s="425">
        <v>1</v>
      </c>
      <c r="B216" s="425">
        <v>1</v>
      </c>
      <c r="C216" s="505" t="s">
        <v>216</v>
      </c>
      <c r="D216" s="425">
        <v>2</v>
      </c>
      <c r="E216" s="505" t="s">
        <v>361</v>
      </c>
      <c r="F216" s="505" t="s">
        <v>411</v>
      </c>
      <c r="G216" s="505" t="s">
        <v>220</v>
      </c>
      <c r="H216" s="505" t="s">
        <v>305</v>
      </c>
      <c r="I216" s="505" t="s">
        <v>216</v>
      </c>
      <c r="J216" s="519"/>
      <c r="K216" s="502" t="s">
        <v>423</v>
      </c>
      <c r="L216" s="426"/>
      <c r="M216" s="426"/>
      <c r="N216" s="426"/>
      <c r="O216" s="426">
        <f>+L216+M216-N216</f>
        <v>0</v>
      </c>
      <c r="P216" s="602"/>
      <c r="Q216" s="603"/>
      <c r="R216" s="604"/>
      <c r="S216" s="426"/>
      <c r="T216" s="426"/>
      <c r="U216" s="601"/>
      <c r="V216" s="737">
        <v>0</v>
      </c>
      <c r="W216" s="426"/>
      <c r="X216" s="522"/>
      <c r="Y216" s="522"/>
      <c r="Z216" s="738">
        <f t="shared" ref="Z216:Z218" si="149">SUBTOTAL(9,P216:S216)</f>
        <v>0</v>
      </c>
      <c r="AA216" s="739">
        <f t="shared" ref="AA216:AA218" si="150">+Z216-O216</f>
        <v>0</v>
      </c>
    </row>
    <row r="217" spans="1:27" s="174" customFormat="1" ht="22.5" customHeight="1" thickTop="1" thickBot="1" x14ac:dyDescent="0.3">
      <c r="A217" s="425">
        <v>1</v>
      </c>
      <c r="B217" s="425">
        <v>1</v>
      </c>
      <c r="C217" s="505" t="s">
        <v>216</v>
      </c>
      <c r="D217" s="425">
        <v>2</v>
      </c>
      <c r="E217" s="505" t="s">
        <v>361</v>
      </c>
      <c r="F217" s="505" t="s">
        <v>411</v>
      </c>
      <c r="G217" s="505" t="s">
        <v>220</v>
      </c>
      <c r="H217" s="505" t="s">
        <v>305</v>
      </c>
      <c r="I217" s="505" t="s">
        <v>227</v>
      </c>
      <c r="J217" s="519"/>
      <c r="K217" s="502" t="s">
        <v>424</v>
      </c>
      <c r="L217" s="426"/>
      <c r="M217" s="426"/>
      <c r="N217" s="426"/>
      <c r="O217" s="426">
        <f>+L217+M217-N217</f>
        <v>0</v>
      </c>
      <c r="P217" s="602"/>
      <c r="Q217" s="603"/>
      <c r="R217" s="604"/>
      <c r="S217" s="426"/>
      <c r="T217" s="426"/>
      <c r="U217" s="601"/>
      <c r="V217" s="737">
        <v>0</v>
      </c>
      <c r="W217" s="426"/>
      <c r="X217" s="522"/>
      <c r="Y217" s="522"/>
      <c r="Z217" s="738">
        <f t="shared" si="149"/>
        <v>0</v>
      </c>
      <c r="AA217" s="739">
        <f t="shared" si="150"/>
        <v>0</v>
      </c>
    </row>
    <row r="218" spans="1:27" s="174" customFormat="1" ht="22.5" customHeight="1" thickTop="1" thickBot="1" x14ac:dyDescent="0.3">
      <c r="A218" s="425">
        <v>1</v>
      </c>
      <c r="B218" s="425">
        <v>1</v>
      </c>
      <c r="C218" s="505" t="s">
        <v>216</v>
      </c>
      <c r="D218" s="425">
        <v>2</v>
      </c>
      <c r="E218" s="505" t="s">
        <v>361</v>
      </c>
      <c r="F218" s="505" t="s">
        <v>411</v>
      </c>
      <c r="G218" s="505" t="s">
        <v>220</v>
      </c>
      <c r="H218" s="505" t="s">
        <v>305</v>
      </c>
      <c r="I218" s="505" t="s">
        <v>229</v>
      </c>
      <c r="J218" s="519"/>
      <c r="K218" s="502" t="s">
        <v>425</v>
      </c>
      <c r="L218" s="426"/>
      <c r="M218" s="426"/>
      <c r="N218" s="426"/>
      <c r="O218" s="426">
        <f>+L218+M218-N218</f>
        <v>0</v>
      </c>
      <c r="P218" s="602"/>
      <c r="Q218" s="603"/>
      <c r="R218" s="604"/>
      <c r="S218" s="426"/>
      <c r="T218" s="426"/>
      <c r="U218" s="601"/>
      <c r="V218" s="737">
        <v>0</v>
      </c>
      <c r="W218" s="426"/>
      <c r="X218" s="522"/>
      <c r="Y218" s="522"/>
      <c r="Z218" s="738">
        <f t="shared" si="149"/>
        <v>0</v>
      </c>
      <c r="AA218" s="739">
        <f t="shared" si="150"/>
        <v>0</v>
      </c>
    </row>
    <row r="219" spans="1:27" s="174" customFormat="1" ht="22.5" customHeight="1" thickTop="1" thickBot="1" x14ac:dyDescent="0.3">
      <c r="A219" s="425">
        <v>1</v>
      </c>
      <c r="B219" s="425">
        <v>1</v>
      </c>
      <c r="C219" s="505" t="s">
        <v>216</v>
      </c>
      <c r="D219" s="425">
        <v>2</v>
      </c>
      <c r="E219" s="505" t="s">
        <v>361</v>
      </c>
      <c r="F219" s="505" t="s">
        <v>426</v>
      </c>
      <c r="G219" s="505"/>
      <c r="H219" s="505"/>
      <c r="I219" s="505"/>
      <c r="J219" s="519"/>
      <c r="K219" s="502" t="s">
        <v>427</v>
      </c>
      <c r="L219" s="426">
        <f>SUM(L220:L222)</f>
        <v>0</v>
      </c>
      <c r="M219" s="426">
        <f t="shared" ref="M219:U219" si="151">SUM(M220:M222)</f>
        <v>0</v>
      </c>
      <c r="N219" s="426">
        <f t="shared" si="151"/>
        <v>0</v>
      </c>
      <c r="O219" s="426">
        <f t="shared" si="151"/>
        <v>0</v>
      </c>
      <c r="P219" s="602">
        <f t="shared" si="151"/>
        <v>0</v>
      </c>
      <c r="Q219" s="603">
        <f t="shared" si="151"/>
        <v>0</v>
      </c>
      <c r="R219" s="604">
        <f t="shared" si="151"/>
        <v>0</v>
      </c>
      <c r="S219" s="426">
        <f t="shared" si="151"/>
        <v>0</v>
      </c>
      <c r="T219" s="426">
        <f t="shared" si="151"/>
        <v>0</v>
      </c>
      <c r="U219" s="601">
        <f t="shared" si="151"/>
        <v>0</v>
      </c>
      <c r="V219" s="426" t="e">
        <f t="shared" si="136"/>
        <v>#DIV/0!</v>
      </c>
      <c r="W219" s="426"/>
      <c r="X219" s="522"/>
      <c r="Y219" s="522"/>
    </row>
    <row r="220" spans="1:27" s="174" customFormat="1" ht="22.5" customHeight="1" thickTop="1" thickBot="1" x14ac:dyDescent="0.3">
      <c r="A220" s="425">
        <v>1</v>
      </c>
      <c r="B220" s="425">
        <v>1</v>
      </c>
      <c r="C220" s="505" t="s">
        <v>216</v>
      </c>
      <c r="D220" s="425">
        <v>2</v>
      </c>
      <c r="E220" s="505" t="s">
        <v>361</v>
      </c>
      <c r="F220" s="505" t="s">
        <v>426</v>
      </c>
      <c r="G220" s="505" t="s">
        <v>216</v>
      </c>
      <c r="H220" s="505"/>
      <c r="I220" s="505"/>
      <c r="J220" s="519"/>
      <c r="K220" s="502" t="s">
        <v>428</v>
      </c>
      <c r="L220" s="426"/>
      <c r="M220" s="426"/>
      <c r="N220" s="426"/>
      <c r="O220" s="426">
        <f>+L220+M220-N220</f>
        <v>0</v>
      </c>
      <c r="P220" s="602"/>
      <c r="Q220" s="603"/>
      <c r="R220" s="604"/>
      <c r="S220" s="426"/>
      <c r="T220" s="426"/>
      <c r="U220" s="601"/>
      <c r="V220" s="737">
        <v>0</v>
      </c>
      <c r="W220" s="426"/>
      <c r="X220" s="522"/>
      <c r="Y220" s="522"/>
      <c r="Z220" s="738">
        <f t="shared" ref="Z220:Z222" si="152">SUBTOTAL(9,P220:S220)</f>
        <v>0</v>
      </c>
      <c r="AA220" s="739">
        <f t="shared" ref="AA220:AA222" si="153">+Z220-O220</f>
        <v>0</v>
      </c>
    </row>
    <row r="221" spans="1:27" s="174" customFormat="1" ht="22.5" customHeight="1" thickTop="1" thickBot="1" x14ac:dyDescent="0.3">
      <c r="A221" s="425">
        <v>1</v>
      </c>
      <c r="B221" s="425">
        <v>1</v>
      </c>
      <c r="C221" s="505" t="s">
        <v>216</v>
      </c>
      <c r="D221" s="425">
        <v>2</v>
      </c>
      <c r="E221" s="505" t="s">
        <v>361</v>
      </c>
      <c r="F221" s="505" t="s">
        <v>426</v>
      </c>
      <c r="G221" s="505" t="s">
        <v>227</v>
      </c>
      <c r="H221" s="505"/>
      <c r="I221" s="505"/>
      <c r="J221" s="519"/>
      <c r="K221" s="502" t="s">
        <v>429</v>
      </c>
      <c r="L221" s="426"/>
      <c r="M221" s="426"/>
      <c r="N221" s="426"/>
      <c r="O221" s="426">
        <f>+L221+M221-N221</f>
        <v>0</v>
      </c>
      <c r="P221" s="602"/>
      <c r="Q221" s="603"/>
      <c r="R221" s="604"/>
      <c r="S221" s="426"/>
      <c r="T221" s="426"/>
      <c r="U221" s="601"/>
      <c r="V221" s="737">
        <v>0</v>
      </c>
      <c r="W221" s="426"/>
      <c r="X221" s="522"/>
      <c r="Y221" s="522"/>
      <c r="Z221" s="738">
        <f t="shared" si="152"/>
        <v>0</v>
      </c>
      <c r="AA221" s="739">
        <f t="shared" si="153"/>
        <v>0</v>
      </c>
    </row>
    <row r="222" spans="1:27" s="174" customFormat="1" ht="22.5" customHeight="1" thickTop="1" thickBot="1" x14ac:dyDescent="0.3">
      <c r="A222" s="425">
        <v>1</v>
      </c>
      <c r="B222" s="425">
        <v>1</v>
      </c>
      <c r="C222" s="505" t="s">
        <v>216</v>
      </c>
      <c r="D222" s="425">
        <v>2</v>
      </c>
      <c r="E222" s="505" t="s">
        <v>361</v>
      </c>
      <c r="F222" s="505" t="s">
        <v>426</v>
      </c>
      <c r="G222" s="505" t="s">
        <v>229</v>
      </c>
      <c r="H222" s="505"/>
      <c r="I222" s="505"/>
      <c r="J222" s="519"/>
      <c r="K222" s="502" t="s">
        <v>430</v>
      </c>
      <c r="L222" s="426"/>
      <c r="M222" s="426"/>
      <c r="N222" s="426"/>
      <c r="O222" s="426">
        <f>+L222+M222-N222</f>
        <v>0</v>
      </c>
      <c r="P222" s="602"/>
      <c r="Q222" s="603"/>
      <c r="R222" s="604"/>
      <c r="S222" s="426"/>
      <c r="T222" s="426"/>
      <c r="U222" s="601"/>
      <c r="V222" s="737">
        <v>0</v>
      </c>
      <c r="W222" s="426"/>
      <c r="X222" s="522"/>
      <c r="Y222" s="522"/>
      <c r="Z222" s="738">
        <f t="shared" si="152"/>
        <v>0</v>
      </c>
      <c r="AA222" s="739">
        <f t="shared" si="153"/>
        <v>0</v>
      </c>
    </row>
    <row r="223" spans="1:27" s="174" customFormat="1" ht="22.5" customHeight="1" thickTop="1" thickBot="1" x14ac:dyDescent="0.3">
      <c r="A223" s="425">
        <v>1</v>
      </c>
      <c r="B223" s="425">
        <v>1</v>
      </c>
      <c r="C223" s="505" t="s">
        <v>216</v>
      </c>
      <c r="D223" s="425">
        <v>2</v>
      </c>
      <c r="E223" s="505" t="s">
        <v>361</v>
      </c>
      <c r="F223" s="505" t="s">
        <v>431</v>
      </c>
      <c r="G223" s="505"/>
      <c r="H223" s="505"/>
      <c r="I223" s="505"/>
      <c r="J223" s="505"/>
      <c r="K223" s="502" t="s">
        <v>432</v>
      </c>
      <c r="L223" s="426">
        <f>SUM(L224:L226)</f>
        <v>0</v>
      </c>
      <c r="M223" s="426">
        <f t="shared" ref="M223:U223" si="154">SUM(M224:M226)</f>
        <v>0</v>
      </c>
      <c r="N223" s="426">
        <f t="shared" si="154"/>
        <v>0</v>
      </c>
      <c r="O223" s="426">
        <f t="shared" si="154"/>
        <v>0</v>
      </c>
      <c r="P223" s="602">
        <f t="shared" si="154"/>
        <v>0</v>
      </c>
      <c r="Q223" s="603">
        <f t="shared" si="154"/>
        <v>0</v>
      </c>
      <c r="R223" s="604">
        <f t="shared" si="154"/>
        <v>0</v>
      </c>
      <c r="S223" s="426">
        <f t="shared" si="154"/>
        <v>0</v>
      </c>
      <c r="T223" s="426">
        <f t="shared" si="154"/>
        <v>0</v>
      </c>
      <c r="U223" s="601">
        <f t="shared" si="154"/>
        <v>0</v>
      </c>
      <c r="V223" s="426" t="e">
        <f t="shared" si="136"/>
        <v>#DIV/0!</v>
      </c>
      <c r="W223" s="426"/>
      <c r="X223" s="522"/>
      <c r="Y223" s="522"/>
    </row>
    <row r="224" spans="1:27" s="174" customFormat="1" ht="22.5" customHeight="1" thickTop="1" thickBot="1" x14ac:dyDescent="0.3">
      <c r="A224" s="425">
        <v>1</v>
      </c>
      <c r="B224" s="425">
        <v>1</v>
      </c>
      <c r="C224" s="505" t="s">
        <v>216</v>
      </c>
      <c r="D224" s="425">
        <v>2</v>
      </c>
      <c r="E224" s="505" t="s">
        <v>361</v>
      </c>
      <c r="F224" s="505" t="s">
        <v>431</v>
      </c>
      <c r="G224" s="505" t="s">
        <v>216</v>
      </c>
      <c r="H224" s="505"/>
      <c r="I224" s="505"/>
      <c r="J224" s="505"/>
      <c r="K224" s="502" t="s">
        <v>433</v>
      </c>
      <c r="L224" s="426"/>
      <c r="M224" s="426"/>
      <c r="N224" s="426"/>
      <c r="O224" s="426">
        <f>+L224+M224-N224</f>
        <v>0</v>
      </c>
      <c r="P224" s="602"/>
      <c r="Q224" s="603"/>
      <c r="R224" s="604"/>
      <c r="S224" s="426"/>
      <c r="T224" s="426"/>
      <c r="U224" s="601"/>
      <c r="V224" s="737">
        <v>0</v>
      </c>
      <c r="W224" s="426"/>
      <c r="X224" s="522"/>
      <c r="Y224" s="522"/>
      <c r="Z224" s="738">
        <f t="shared" ref="Z224:Z227" si="155">SUBTOTAL(9,P224:S224)</f>
        <v>0</v>
      </c>
      <c r="AA224" s="739">
        <f t="shared" ref="AA224:AA227" si="156">+Z224-O224</f>
        <v>0</v>
      </c>
    </row>
    <row r="225" spans="1:27" s="174" customFormat="1" ht="22.5" customHeight="1" thickTop="1" thickBot="1" x14ac:dyDescent="0.3">
      <c r="A225" s="425">
        <v>1</v>
      </c>
      <c r="B225" s="425">
        <v>1</v>
      </c>
      <c r="C225" s="505" t="s">
        <v>216</v>
      </c>
      <c r="D225" s="425">
        <v>2</v>
      </c>
      <c r="E225" s="505" t="s">
        <v>361</v>
      </c>
      <c r="F225" s="505" t="s">
        <v>431</v>
      </c>
      <c r="G225" s="505" t="s">
        <v>227</v>
      </c>
      <c r="H225" s="505"/>
      <c r="I225" s="505"/>
      <c r="J225" s="505"/>
      <c r="K225" s="502" t="s">
        <v>434</v>
      </c>
      <c r="L225" s="426"/>
      <c r="M225" s="426"/>
      <c r="N225" s="426"/>
      <c r="O225" s="426">
        <f>+L225+M225-N225</f>
        <v>0</v>
      </c>
      <c r="P225" s="602"/>
      <c r="Q225" s="603"/>
      <c r="R225" s="604"/>
      <c r="S225" s="426"/>
      <c r="T225" s="426"/>
      <c r="U225" s="601"/>
      <c r="V225" s="737">
        <v>0</v>
      </c>
      <c r="W225" s="426"/>
      <c r="X225" s="522"/>
      <c r="Y225" s="522"/>
      <c r="Z225" s="738">
        <f t="shared" si="155"/>
        <v>0</v>
      </c>
      <c r="AA225" s="739">
        <f t="shared" si="156"/>
        <v>0</v>
      </c>
    </row>
    <row r="226" spans="1:27" s="174" customFormat="1" ht="22.5" customHeight="1" thickTop="1" thickBot="1" x14ac:dyDescent="0.3">
      <c r="A226" s="425">
        <v>1</v>
      </c>
      <c r="B226" s="425">
        <v>1</v>
      </c>
      <c r="C226" s="505" t="s">
        <v>216</v>
      </c>
      <c r="D226" s="425">
        <v>2</v>
      </c>
      <c r="E226" s="505" t="s">
        <v>361</v>
      </c>
      <c r="F226" s="505" t="s">
        <v>431</v>
      </c>
      <c r="G226" s="505" t="s">
        <v>229</v>
      </c>
      <c r="H226" s="505"/>
      <c r="I226" s="505"/>
      <c r="J226" s="505"/>
      <c r="K226" s="502" t="s">
        <v>435</v>
      </c>
      <c r="L226" s="426"/>
      <c r="M226" s="426"/>
      <c r="N226" s="426"/>
      <c r="O226" s="426">
        <f>+L226+M226-N226</f>
        <v>0</v>
      </c>
      <c r="P226" s="602"/>
      <c r="Q226" s="603"/>
      <c r="R226" s="604"/>
      <c r="S226" s="426"/>
      <c r="T226" s="426"/>
      <c r="U226" s="601"/>
      <c r="V226" s="737">
        <v>0</v>
      </c>
      <c r="W226" s="426"/>
      <c r="X226" s="522"/>
      <c r="Y226" s="522"/>
      <c r="Z226" s="738">
        <f t="shared" si="155"/>
        <v>0</v>
      </c>
      <c r="AA226" s="739">
        <f t="shared" si="156"/>
        <v>0</v>
      </c>
    </row>
    <row r="227" spans="1:27" s="512" customFormat="1" ht="16.5" thickTop="1" thickBot="1" x14ac:dyDescent="0.3">
      <c r="A227" s="523">
        <v>1</v>
      </c>
      <c r="B227" s="422" t="s">
        <v>216</v>
      </c>
      <c r="C227" s="422" t="s">
        <v>227</v>
      </c>
      <c r="D227" s="422"/>
      <c r="E227" s="422"/>
      <c r="F227" s="422"/>
      <c r="G227" s="422"/>
      <c r="H227" s="421"/>
      <c r="I227" s="421"/>
      <c r="J227" s="421"/>
      <c r="K227" s="524" t="s">
        <v>436</v>
      </c>
      <c r="L227" s="423">
        <f>+L228+L287+L308+L345+L363+L378+L396+L402+L502</f>
        <v>15627000000</v>
      </c>
      <c r="M227" s="423">
        <f t="shared" ref="M227:T227" si="157">+M228+M287+M308+M345+M363+M378+M396+M402+M502</f>
        <v>37581879572.449997</v>
      </c>
      <c r="N227" s="423">
        <f t="shared" si="157"/>
        <v>0</v>
      </c>
      <c r="O227" s="423">
        <f>+L227+M227</f>
        <v>53208879572.449997</v>
      </c>
      <c r="P227" s="423">
        <f>+P228+P287+P308+P345+P363+P378+P396+P402+P502</f>
        <v>162700000</v>
      </c>
      <c r="Q227" s="423">
        <f t="shared" ref="Q227:R227" si="158">+Q228+Q287+Q308+Q345+Q363+Q378+Q396+Q402+Q502</f>
        <v>38011579966.369164</v>
      </c>
      <c r="R227" s="423">
        <f t="shared" si="158"/>
        <v>1034599606.0808399</v>
      </c>
      <c r="S227" s="423" t="s">
        <v>849</v>
      </c>
      <c r="T227" s="423">
        <f t="shared" si="157"/>
        <v>0</v>
      </c>
      <c r="U227" s="601">
        <f>+U233+U308+U402</f>
        <v>53547958462</v>
      </c>
      <c r="V227" s="737">
        <f t="shared" ref="V227" si="159">+U227/O227</f>
        <v>1.0063725996915291</v>
      </c>
      <c r="W227" s="423" t="s">
        <v>849</v>
      </c>
      <c r="X227" s="511"/>
      <c r="Y227" s="511"/>
      <c r="Z227" s="738">
        <f t="shared" si="155"/>
        <v>39208879572.450005</v>
      </c>
      <c r="AA227" s="739">
        <f t="shared" si="156"/>
        <v>-13999999999.999992</v>
      </c>
    </row>
    <row r="228" spans="1:27" s="174" customFormat="1" ht="23.25" customHeight="1" thickTop="1" thickBot="1" x14ac:dyDescent="0.3">
      <c r="A228" s="425">
        <v>1</v>
      </c>
      <c r="B228" s="425">
        <v>1</v>
      </c>
      <c r="C228" s="505" t="s">
        <v>227</v>
      </c>
      <c r="D228" s="505" t="s">
        <v>220</v>
      </c>
      <c r="E228" s="505"/>
      <c r="F228" s="505"/>
      <c r="G228" s="505"/>
      <c r="H228" s="505"/>
      <c r="I228" s="505"/>
      <c r="J228" s="505"/>
      <c r="K228" s="502" t="s">
        <v>437</v>
      </c>
      <c r="L228" s="426">
        <f>+L229+L246</f>
        <v>14000000000</v>
      </c>
      <c r="M228" s="426">
        <f t="shared" ref="M228:U228" si="160">+M229+M246</f>
        <v>0</v>
      </c>
      <c r="N228" s="426">
        <f t="shared" si="160"/>
        <v>0</v>
      </c>
      <c r="O228" s="426">
        <f t="shared" si="160"/>
        <v>14000000000</v>
      </c>
      <c r="P228" s="602">
        <f t="shared" si="160"/>
        <v>0</v>
      </c>
      <c r="Q228" s="603">
        <f t="shared" si="160"/>
        <v>0</v>
      </c>
      <c r="R228" s="604">
        <f t="shared" si="160"/>
        <v>0</v>
      </c>
      <c r="S228" s="426">
        <f t="shared" si="160"/>
        <v>0</v>
      </c>
      <c r="T228" s="426">
        <f t="shared" si="160"/>
        <v>0</v>
      </c>
      <c r="U228" s="601">
        <f t="shared" si="160"/>
        <v>14722765637</v>
      </c>
      <c r="V228" s="426" t="e">
        <f t="shared" si="136"/>
        <v>#DIV/0!</v>
      </c>
      <c r="W228" s="426"/>
      <c r="X228" s="522"/>
      <c r="Y228" s="522"/>
    </row>
    <row r="229" spans="1:27" s="174" customFormat="1" ht="16.5" thickTop="1" thickBot="1" x14ac:dyDescent="0.3">
      <c r="A229" s="425">
        <v>1</v>
      </c>
      <c r="B229" s="425">
        <v>1</v>
      </c>
      <c r="C229" s="505" t="s">
        <v>227</v>
      </c>
      <c r="D229" s="505" t="s">
        <v>220</v>
      </c>
      <c r="E229" s="505" t="s">
        <v>220</v>
      </c>
      <c r="F229" s="505"/>
      <c r="G229" s="505"/>
      <c r="H229" s="505"/>
      <c r="I229" s="505"/>
      <c r="J229" s="505"/>
      <c r="K229" s="502" t="s">
        <v>438</v>
      </c>
      <c r="L229" s="426">
        <f>+L230+L234+L238+L242</f>
        <v>14000000000</v>
      </c>
      <c r="M229" s="426">
        <f t="shared" ref="M229:U229" si="161">+M230+M234+M238+M242</f>
        <v>0</v>
      </c>
      <c r="N229" s="426">
        <f t="shared" si="161"/>
        <v>0</v>
      </c>
      <c r="O229" s="426">
        <f t="shared" si="161"/>
        <v>14000000000</v>
      </c>
      <c r="P229" s="602">
        <f t="shared" si="161"/>
        <v>0</v>
      </c>
      <c r="Q229" s="603">
        <f t="shared" si="161"/>
        <v>0</v>
      </c>
      <c r="R229" s="604">
        <f t="shared" si="161"/>
        <v>0</v>
      </c>
      <c r="S229" s="426">
        <f t="shared" si="161"/>
        <v>0</v>
      </c>
      <c r="T229" s="426">
        <f t="shared" si="161"/>
        <v>0</v>
      </c>
      <c r="U229" s="601">
        <f t="shared" si="161"/>
        <v>14722765637</v>
      </c>
      <c r="V229" s="426" t="e">
        <f t="shared" si="136"/>
        <v>#DIV/0!</v>
      </c>
      <c r="W229" s="426"/>
      <c r="X229" s="522"/>
      <c r="Y229" s="522"/>
    </row>
    <row r="230" spans="1:27" s="174" customFormat="1" ht="16.5" thickTop="1" thickBot="1" x14ac:dyDescent="0.3">
      <c r="A230" s="425">
        <v>1</v>
      </c>
      <c r="B230" s="425">
        <v>1</v>
      </c>
      <c r="C230" s="505" t="s">
        <v>227</v>
      </c>
      <c r="D230" s="505" t="s">
        <v>220</v>
      </c>
      <c r="E230" s="505" t="s">
        <v>220</v>
      </c>
      <c r="F230" s="505" t="s">
        <v>307</v>
      </c>
      <c r="G230" s="505"/>
      <c r="H230" s="505"/>
      <c r="I230" s="505"/>
      <c r="J230" s="505"/>
      <c r="K230" s="502" t="s">
        <v>439</v>
      </c>
      <c r="L230" s="426">
        <f>SUM(L231:L233)</f>
        <v>14000000000</v>
      </c>
      <c r="M230" s="426">
        <f t="shared" ref="M230:U230" si="162">SUM(M231:M233)</f>
        <v>0</v>
      </c>
      <c r="N230" s="426">
        <f t="shared" si="162"/>
        <v>0</v>
      </c>
      <c r="O230" s="426">
        <f t="shared" si="162"/>
        <v>14000000000</v>
      </c>
      <c r="P230" s="602">
        <f t="shared" si="162"/>
        <v>0</v>
      </c>
      <c r="Q230" s="603">
        <f t="shared" si="162"/>
        <v>0</v>
      </c>
      <c r="R230" s="604">
        <f t="shared" si="162"/>
        <v>0</v>
      </c>
      <c r="S230" s="426">
        <f t="shared" si="162"/>
        <v>0</v>
      </c>
      <c r="T230" s="426">
        <f t="shared" si="162"/>
        <v>0</v>
      </c>
      <c r="U230" s="601">
        <f t="shared" si="162"/>
        <v>14722765637</v>
      </c>
      <c r="V230" s="426" t="e">
        <f t="shared" si="136"/>
        <v>#DIV/0!</v>
      </c>
      <c r="W230" s="426"/>
      <c r="X230" s="522"/>
      <c r="Y230" s="522"/>
    </row>
    <row r="231" spans="1:27" s="174" customFormat="1" ht="16.5" thickTop="1" thickBot="1" x14ac:dyDescent="0.3">
      <c r="A231" s="425">
        <v>1</v>
      </c>
      <c r="B231" s="425">
        <v>1</v>
      </c>
      <c r="C231" s="505" t="s">
        <v>227</v>
      </c>
      <c r="D231" s="505" t="s">
        <v>220</v>
      </c>
      <c r="E231" s="505" t="s">
        <v>220</v>
      </c>
      <c r="F231" s="505" t="s">
        <v>307</v>
      </c>
      <c r="G231" s="505" t="s">
        <v>216</v>
      </c>
      <c r="H231" s="505"/>
      <c r="I231" s="505"/>
      <c r="J231" s="505"/>
      <c r="K231" s="502" t="s">
        <v>440</v>
      </c>
      <c r="L231" s="426"/>
      <c r="M231" s="426"/>
      <c r="N231" s="426"/>
      <c r="O231" s="426">
        <f>+L231+M231-N231</f>
        <v>0</v>
      </c>
      <c r="P231" s="602"/>
      <c r="Q231" s="603"/>
      <c r="R231" s="604"/>
      <c r="S231" s="426"/>
      <c r="T231" s="426"/>
      <c r="U231" s="601"/>
      <c r="V231" s="737">
        <v>0</v>
      </c>
      <c r="W231" s="426"/>
      <c r="X231" s="522"/>
      <c r="Y231" s="522"/>
      <c r="Z231" s="738">
        <f t="shared" ref="Z231:Z233" si="163">SUBTOTAL(9,P231:S231)</f>
        <v>0</v>
      </c>
      <c r="AA231" s="739">
        <f t="shared" ref="AA231:AA233" si="164">+Z231-O231</f>
        <v>0</v>
      </c>
    </row>
    <row r="232" spans="1:27" s="174" customFormat="1" ht="22.5" customHeight="1" thickTop="1" thickBot="1" x14ac:dyDescent="0.3">
      <c r="A232" s="425">
        <v>1</v>
      </c>
      <c r="B232" s="425">
        <v>1</v>
      </c>
      <c r="C232" s="505" t="s">
        <v>227</v>
      </c>
      <c r="D232" s="505" t="s">
        <v>220</v>
      </c>
      <c r="E232" s="505" t="s">
        <v>220</v>
      </c>
      <c r="F232" s="505" t="s">
        <v>307</v>
      </c>
      <c r="G232" s="505" t="s">
        <v>227</v>
      </c>
      <c r="H232" s="505"/>
      <c r="I232" s="505"/>
      <c r="J232" s="505"/>
      <c r="K232" s="502" t="s">
        <v>441</v>
      </c>
      <c r="L232" s="426"/>
      <c r="M232" s="426"/>
      <c r="N232" s="426"/>
      <c r="O232" s="426">
        <f>+L232+M232-N232</f>
        <v>0</v>
      </c>
      <c r="P232" s="602"/>
      <c r="Q232" s="603"/>
      <c r="R232" s="604"/>
      <c r="S232" s="426"/>
      <c r="T232" s="426"/>
      <c r="U232" s="601"/>
      <c r="V232" s="737">
        <v>0</v>
      </c>
      <c r="W232" s="426"/>
      <c r="X232" s="522"/>
      <c r="Y232" s="522"/>
      <c r="Z232" s="738">
        <f t="shared" si="163"/>
        <v>0</v>
      </c>
      <c r="AA232" s="739">
        <f t="shared" si="164"/>
        <v>0</v>
      </c>
    </row>
    <row r="233" spans="1:27" s="174" customFormat="1" ht="22.5" customHeight="1" thickTop="1" thickBot="1" x14ac:dyDescent="0.3">
      <c r="A233" s="425">
        <v>1</v>
      </c>
      <c r="B233" s="425">
        <v>1</v>
      </c>
      <c r="C233" s="505" t="s">
        <v>227</v>
      </c>
      <c r="D233" s="505" t="s">
        <v>220</v>
      </c>
      <c r="E233" s="505" t="s">
        <v>220</v>
      </c>
      <c r="F233" s="505" t="s">
        <v>307</v>
      </c>
      <c r="G233" s="505" t="s">
        <v>229</v>
      </c>
      <c r="H233" s="505"/>
      <c r="I233" s="505"/>
      <c r="J233" s="505"/>
      <c r="K233" s="502" t="s">
        <v>442</v>
      </c>
      <c r="L233" s="426">
        <v>14000000000</v>
      </c>
      <c r="M233" s="426"/>
      <c r="N233" s="426"/>
      <c r="O233" s="673">
        <f>+L233+M233-N233</f>
        <v>14000000000</v>
      </c>
      <c r="P233" s="602"/>
      <c r="Q233" s="603"/>
      <c r="R233" s="604"/>
      <c r="S233" s="426"/>
      <c r="T233" s="426"/>
      <c r="U233" s="601">
        <v>14722765637</v>
      </c>
      <c r="V233" s="737">
        <f t="shared" ref="V233" si="165">+U233/O233</f>
        <v>1.0516261169285714</v>
      </c>
      <c r="W233" s="426"/>
      <c r="X233" s="522"/>
      <c r="Y233" s="522"/>
      <c r="Z233" s="738">
        <f t="shared" si="163"/>
        <v>0</v>
      </c>
      <c r="AA233" s="739">
        <f t="shared" si="164"/>
        <v>-14000000000</v>
      </c>
    </row>
    <row r="234" spans="1:27" s="174" customFormat="1" ht="22.5" customHeight="1" thickTop="1" thickBot="1" x14ac:dyDescent="0.3">
      <c r="A234" s="425">
        <v>1</v>
      </c>
      <c r="B234" s="425">
        <v>1</v>
      </c>
      <c r="C234" s="505" t="s">
        <v>227</v>
      </c>
      <c r="D234" s="505" t="s">
        <v>220</v>
      </c>
      <c r="E234" s="505" t="s">
        <v>220</v>
      </c>
      <c r="F234" s="505" t="s">
        <v>332</v>
      </c>
      <c r="G234" s="505"/>
      <c r="H234" s="505"/>
      <c r="I234" s="505"/>
      <c r="J234" s="505"/>
      <c r="K234" s="502" t="s">
        <v>443</v>
      </c>
      <c r="L234" s="426">
        <f>SUM(L235:L237)</f>
        <v>0</v>
      </c>
      <c r="M234" s="426">
        <f t="shared" ref="M234:U234" si="166">SUM(M235:M237)</f>
        <v>0</v>
      </c>
      <c r="N234" s="426">
        <f t="shared" si="166"/>
        <v>0</v>
      </c>
      <c r="O234" s="426">
        <f t="shared" si="166"/>
        <v>0</v>
      </c>
      <c r="P234" s="602">
        <f t="shared" si="166"/>
        <v>0</v>
      </c>
      <c r="Q234" s="603">
        <f t="shared" si="166"/>
        <v>0</v>
      </c>
      <c r="R234" s="604">
        <f t="shared" si="166"/>
        <v>0</v>
      </c>
      <c r="S234" s="426">
        <f t="shared" si="166"/>
        <v>0</v>
      </c>
      <c r="T234" s="426">
        <f t="shared" si="166"/>
        <v>0</v>
      </c>
      <c r="U234" s="601">
        <f t="shared" si="166"/>
        <v>0</v>
      </c>
      <c r="V234" s="426" t="e">
        <f t="shared" si="136"/>
        <v>#DIV/0!</v>
      </c>
      <c r="W234" s="426"/>
      <c r="X234" s="522"/>
      <c r="Y234" s="522"/>
    </row>
    <row r="235" spans="1:27" s="174" customFormat="1" ht="22.5" customHeight="1" thickTop="1" thickBot="1" x14ac:dyDescent="0.3">
      <c r="A235" s="425">
        <v>1</v>
      </c>
      <c r="B235" s="425">
        <v>1</v>
      </c>
      <c r="C235" s="505" t="s">
        <v>227</v>
      </c>
      <c r="D235" s="505" t="s">
        <v>220</v>
      </c>
      <c r="E235" s="505" t="s">
        <v>220</v>
      </c>
      <c r="F235" s="505" t="s">
        <v>332</v>
      </c>
      <c r="G235" s="505" t="s">
        <v>216</v>
      </c>
      <c r="H235" s="505"/>
      <c r="I235" s="505"/>
      <c r="J235" s="505"/>
      <c r="K235" s="502" t="s">
        <v>444</v>
      </c>
      <c r="L235" s="426"/>
      <c r="M235" s="426"/>
      <c r="N235" s="426"/>
      <c r="O235" s="426">
        <f>+L235+M235-N235</f>
        <v>0</v>
      </c>
      <c r="P235" s="602"/>
      <c r="Q235" s="603"/>
      <c r="R235" s="604"/>
      <c r="S235" s="426"/>
      <c r="T235" s="426"/>
      <c r="U235" s="601"/>
      <c r="V235" s="737">
        <v>0</v>
      </c>
      <c r="W235" s="426"/>
      <c r="X235" s="522"/>
      <c r="Y235" s="522"/>
      <c r="Z235" s="738">
        <f t="shared" ref="Z235:Z237" si="167">SUBTOTAL(9,P235:S235)</f>
        <v>0</v>
      </c>
      <c r="AA235" s="739">
        <f t="shared" ref="AA235:AA237" si="168">+Z235-O235</f>
        <v>0</v>
      </c>
    </row>
    <row r="236" spans="1:27" s="174" customFormat="1" ht="22.5" customHeight="1" thickTop="1" thickBot="1" x14ac:dyDescent="0.3">
      <c r="A236" s="425">
        <v>1</v>
      </c>
      <c r="B236" s="425">
        <v>1</v>
      </c>
      <c r="C236" s="505" t="s">
        <v>227</v>
      </c>
      <c r="D236" s="505" t="s">
        <v>220</v>
      </c>
      <c r="E236" s="505" t="s">
        <v>220</v>
      </c>
      <c r="F236" s="505" t="s">
        <v>332</v>
      </c>
      <c r="G236" s="505" t="s">
        <v>227</v>
      </c>
      <c r="H236" s="505"/>
      <c r="I236" s="505"/>
      <c r="J236" s="505"/>
      <c r="K236" s="502" t="s">
        <v>445</v>
      </c>
      <c r="L236" s="426"/>
      <c r="M236" s="426"/>
      <c r="N236" s="426"/>
      <c r="O236" s="426">
        <f>+L236+M236-N236</f>
        <v>0</v>
      </c>
      <c r="P236" s="602"/>
      <c r="Q236" s="603"/>
      <c r="R236" s="604"/>
      <c r="S236" s="426"/>
      <c r="T236" s="426"/>
      <c r="U236" s="601"/>
      <c r="V236" s="737">
        <v>0</v>
      </c>
      <c r="W236" s="426"/>
      <c r="X236" s="522"/>
      <c r="Y236" s="522"/>
      <c r="Z236" s="738">
        <f t="shared" si="167"/>
        <v>0</v>
      </c>
      <c r="AA236" s="739">
        <f t="shared" si="168"/>
        <v>0</v>
      </c>
    </row>
    <row r="237" spans="1:27" s="174" customFormat="1" ht="22.5" customHeight="1" thickTop="1" thickBot="1" x14ac:dyDescent="0.3">
      <c r="A237" s="425">
        <v>1</v>
      </c>
      <c r="B237" s="425">
        <v>1</v>
      </c>
      <c r="C237" s="505" t="s">
        <v>227</v>
      </c>
      <c r="D237" s="505" t="s">
        <v>220</v>
      </c>
      <c r="E237" s="505" t="s">
        <v>220</v>
      </c>
      <c r="F237" s="505" t="s">
        <v>332</v>
      </c>
      <c r="G237" s="505" t="s">
        <v>229</v>
      </c>
      <c r="H237" s="505"/>
      <c r="I237" s="505"/>
      <c r="J237" s="505"/>
      <c r="K237" s="502" t="s">
        <v>446</v>
      </c>
      <c r="L237" s="426"/>
      <c r="M237" s="426"/>
      <c r="N237" s="426"/>
      <c r="O237" s="426">
        <f>+L237+M237-N237</f>
        <v>0</v>
      </c>
      <c r="P237" s="602"/>
      <c r="Q237" s="603"/>
      <c r="R237" s="604"/>
      <c r="S237" s="426"/>
      <c r="T237" s="426"/>
      <c r="U237" s="601"/>
      <c r="V237" s="737">
        <v>0</v>
      </c>
      <c r="W237" s="426"/>
      <c r="X237" s="522"/>
      <c r="Y237" s="522"/>
      <c r="Z237" s="738">
        <f t="shared" si="167"/>
        <v>0</v>
      </c>
      <c r="AA237" s="739">
        <f t="shared" si="168"/>
        <v>0</v>
      </c>
    </row>
    <row r="238" spans="1:27" s="174" customFormat="1" ht="22.5" customHeight="1" thickTop="1" thickBot="1" x14ac:dyDescent="0.3">
      <c r="A238" s="425">
        <v>1</v>
      </c>
      <c r="B238" s="425">
        <v>1</v>
      </c>
      <c r="C238" s="505" t="s">
        <v>227</v>
      </c>
      <c r="D238" s="505" t="s">
        <v>220</v>
      </c>
      <c r="E238" s="505" t="s">
        <v>220</v>
      </c>
      <c r="F238" s="505" t="s">
        <v>391</v>
      </c>
      <c r="G238" s="505"/>
      <c r="H238" s="505"/>
      <c r="I238" s="505"/>
      <c r="J238" s="505"/>
      <c r="K238" s="502" t="s">
        <v>447</v>
      </c>
      <c r="L238" s="426">
        <f>SUM(L239:L241)</f>
        <v>0</v>
      </c>
      <c r="M238" s="426">
        <f t="shared" ref="M238:U238" si="169">SUM(M239:M241)</f>
        <v>0</v>
      </c>
      <c r="N238" s="426">
        <f t="shared" si="169"/>
        <v>0</v>
      </c>
      <c r="O238" s="426">
        <f t="shared" si="169"/>
        <v>0</v>
      </c>
      <c r="P238" s="602">
        <f t="shared" si="169"/>
        <v>0</v>
      </c>
      <c r="Q238" s="603">
        <f t="shared" si="169"/>
        <v>0</v>
      </c>
      <c r="R238" s="604">
        <f t="shared" si="169"/>
        <v>0</v>
      </c>
      <c r="S238" s="426">
        <f t="shared" si="169"/>
        <v>0</v>
      </c>
      <c r="T238" s="426">
        <f t="shared" si="169"/>
        <v>0</v>
      </c>
      <c r="U238" s="601">
        <f t="shared" si="169"/>
        <v>0</v>
      </c>
      <c r="V238" s="426" t="e">
        <f t="shared" si="136"/>
        <v>#DIV/0!</v>
      </c>
      <c r="W238" s="426"/>
      <c r="X238" s="522"/>
      <c r="Y238" s="522"/>
    </row>
    <row r="239" spans="1:27" s="174" customFormat="1" ht="22.5" customHeight="1" thickTop="1" thickBot="1" x14ac:dyDescent="0.3">
      <c r="A239" s="425">
        <v>1</v>
      </c>
      <c r="B239" s="425">
        <v>1</v>
      </c>
      <c r="C239" s="505" t="s">
        <v>227</v>
      </c>
      <c r="D239" s="505" t="s">
        <v>220</v>
      </c>
      <c r="E239" s="505" t="s">
        <v>220</v>
      </c>
      <c r="F239" s="505" t="s">
        <v>391</v>
      </c>
      <c r="G239" s="505" t="s">
        <v>216</v>
      </c>
      <c r="H239" s="505"/>
      <c r="I239" s="505"/>
      <c r="J239" s="505"/>
      <c r="K239" s="502" t="s">
        <v>448</v>
      </c>
      <c r="L239" s="426"/>
      <c r="M239" s="426"/>
      <c r="N239" s="426"/>
      <c r="O239" s="426">
        <f>+L239+M239-N239</f>
        <v>0</v>
      </c>
      <c r="P239" s="602"/>
      <c r="Q239" s="603"/>
      <c r="R239" s="604"/>
      <c r="S239" s="426"/>
      <c r="T239" s="426"/>
      <c r="U239" s="601"/>
      <c r="V239" s="737">
        <v>0</v>
      </c>
      <c r="W239" s="426"/>
      <c r="X239" s="522"/>
      <c r="Y239" s="522"/>
      <c r="Z239" s="738">
        <f t="shared" ref="Z239:Z241" si="170">SUBTOTAL(9,P239:S239)</f>
        <v>0</v>
      </c>
      <c r="AA239" s="739">
        <f t="shared" ref="AA239:AA241" si="171">+Z239-O239</f>
        <v>0</v>
      </c>
    </row>
    <row r="240" spans="1:27" s="174" customFormat="1" ht="22.5" customHeight="1" thickTop="1" thickBot="1" x14ac:dyDescent="0.3">
      <c r="A240" s="425">
        <v>1</v>
      </c>
      <c r="B240" s="425">
        <v>1</v>
      </c>
      <c r="C240" s="505" t="s">
        <v>227</v>
      </c>
      <c r="D240" s="505" t="s">
        <v>220</v>
      </c>
      <c r="E240" s="505" t="s">
        <v>220</v>
      </c>
      <c r="F240" s="505" t="s">
        <v>391</v>
      </c>
      <c r="G240" s="505" t="s">
        <v>227</v>
      </c>
      <c r="H240" s="505"/>
      <c r="I240" s="505"/>
      <c r="J240" s="505"/>
      <c r="K240" s="502" t="s">
        <v>449</v>
      </c>
      <c r="L240" s="426"/>
      <c r="M240" s="426"/>
      <c r="N240" s="426"/>
      <c r="O240" s="426">
        <f>+L240+M240-N240</f>
        <v>0</v>
      </c>
      <c r="P240" s="602"/>
      <c r="Q240" s="603"/>
      <c r="R240" s="604"/>
      <c r="S240" s="426"/>
      <c r="T240" s="426"/>
      <c r="U240" s="601"/>
      <c r="V240" s="737">
        <v>0</v>
      </c>
      <c r="W240" s="426"/>
      <c r="X240" s="522"/>
      <c r="Y240" s="522"/>
      <c r="Z240" s="738">
        <f t="shared" si="170"/>
        <v>0</v>
      </c>
      <c r="AA240" s="739">
        <f t="shared" si="171"/>
        <v>0</v>
      </c>
    </row>
    <row r="241" spans="1:27" s="174" customFormat="1" ht="22.5" customHeight="1" thickTop="1" thickBot="1" x14ac:dyDescent="0.3">
      <c r="A241" s="425">
        <v>1</v>
      </c>
      <c r="B241" s="425">
        <v>1</v>
      </c>
      <c r="C241" s="505" t="s">
        <v>227</v>
      </c>
      <c r="D241" s="505" t="s">
        <v>220</v>
      </c>
      <c r="E241" s="505" t="s">
        <v>220</v>
      </c>
      <c r="F241" s="505" t="s">
        <v>391</v>
      </c>
      <c r="G241" s="505" t="s">
        <v>229</v>
      </c>
      <c r="H241" s="505"/>
      <c r="I241" s="505"/>
      <c r="J241" s="505"/>
      <c r="K241" s="502" t="s">
        <v>450</v>
      </c>
      <c r="L241" s="426"/>
      <c r="M241" s="426"/>
      <c r="N241" s="426"/>
      <c r="O241" s="426">
        <f>+L241+M241-N241</f>
        <v>0</v>
      </c>
      <c r="P241" s="602"/>
      <c r="Q241" s="603"/>
      <c r="R241" s="604"/>
      <c r="S241" s="426"/>
      <c r="T241" s="426"/>
      <c r="U241" s="601"/>
      <c r="V241" s="737">
        <v>0</v>
      </c>
      <c r="W241" s="426"/>
      <c r="X241" s="522"/>
      <c r="Y241" s="522"/>
      <c r="Z241" s="738">
        <f t="shared" si="170"/>
        <v>0</v>
      </c>
      <c r="AA241" s="739">
        <f t="shared" si="171"/>
        <v>0</v>
      </c>
    </row>
    <row r="242" spans="1:27" s="174" customFormat="1" ht="22.5" customHeight="1" thickTop="1" thickBot="1" x14ac:dyDescent="0.3">
      <c r="A242" s="425">
        <v>1</v>
      </c>
      <c r="B242" s="425">
        <v>1</v>
      </c>
      <c r="C242" s="505" t="s">
        <v>227</v>
      </c>
      <c r="D242" s="505" t="s">
        <v>220</v>
      </c>
      <c r="E242" s="505" t="s">
        <v>220</v>
      </c>
      <c r="F242" s="505" t="s">
        <v>451</v>
      </c>
      <c r="G242" s="505"/>
      <c r="H242" s="505"/>
      <c r="I242" s="505"/>
      <c r="J242" s="505"/>
      <c r="K242" s="502" t="s">
        <v>452</v>
      </c>
      <c r="L242" s="426">
        <f>SUM(L243:L245)</f>
        <v>0</v>
      </c>
      <c r="M242" s="426">
        <f t="shared" ref="M242:U242" si="172">SUM(M243:M245)</f>
        <v>0</v>
      </c>
      <c r="N242" s="426">
        <f t="shared" si="172"/>
        <v>0</v>
      </c>
      <c r="O242" s="426">
        <f t="shared" si="172"/>
        <v>0</v>
      </c>
      <c r="P242" s="602">
        <f t="shared" si="172"/>
        <v>0</v>
      </c>
      <c r="Q242" s="603">
        <f t="shared" si="172"/>
        <v>0</v>
      </c>
      <c r="R242" s="604">
        <f t="shared" si="172"/>
        <v>0</v>
      </c>
      <c r="S242" s="426">
        <f t="shared" si="172"/>
        <v>0</v>
      </c>
      <c r="T242" s="426">
        <f t="shared" si="172"/>
        <v>0</v>
      </c>
      <c r="U242" s="601">
        <f t="shared" si="172"/>
        <v>0</v>
      </c>
      <c r="V242" s="426" t="e">
        <f t="shared" si="136"/>
        <v>#DIV/0!</v>
      </c>
      <c r="W242" s="426"/>
      <c r="X242" s="522"/>
      <c r="Y242" s="522"/>
    </row>
    <row r="243" spans="1:27" s="174" customFormat="1" ht="22.5" customHeight="1" thickTop="1" thickBot="1" x14ac:dyDescent="0.3">
      <c r="A243" s="425">
        <v>1</v>
      </c>
      <c r="B243" s="425">
        <v>1</v>
      </c>
      <c r="C243" s="505" t="s">
        <v>227</v>
      </c>
      <c r="D243" s="505" t="s">
        <v>220</v>
      </c>
      <c r="E243" s="505" t="s">
        <v>220</v>
      </c>
      <c r="F243" s="505" t="s">
        <v>451</v>
      </c>
      <c r="G243" s="505" t="s">
        <v>216</v>
      </c>
      <c r="H243" s="505"/>
      <c r="I243" s="505"/>
      <c r="J243" s="505"/>
      <c r="K243" s="502" t="s">
        <v>453</v>
      </c>
      <c r="L243" s="426"/>
      <c r="M243" s="426"/>
      <c r="N243" s="426"/>
      <c r="O243" s="426">
        <f>+L243+M243-N243</f>
        <v>0</v>
      </c>
      <c r="P243" s="602"/>
      <c r="Q243" s="603"/>
      <c r="R243" s="604"/>
      <c r="S243" s="426"/>
      <c r="T243" s="426"/>
      <c r="U243" s="601"/>
      <c r="V243" s="737">
        <v>0</v>
      </c>
      <c r="W243" s="426"/>
      <c r="X243" s="522"/>
      <c r="Y243" s="522"/>
      <c r="Z243" s="738">
        <f t="shared" ref="Z243:Z245" si="173">SUBTOTAL(9,P243:S243)</f>
        <v>0</v>
      </c>
      <c r="AA243" s="739">
        <f t="shared" ref="AA243:AA245" si="174">+Z243-O243</f>
        <v>0</v>
      </c>
    </row>
    <row r="244" spans="1:27" s="174" customFormat="1" ht="22.5" customHeight="1" thickTop="1" thickBot="1" x14ac:dyDescent="0.3">
      <c r="A244" s="425">
        <v>1</v>
      </c>
      <c r="B244" s="425">
        <v>1</v>
      </c>
      <c r="C244" s="505" t="s">
        <v>227</v>
      </c>
      <c r="D244" s="505" t="s">
        <v>220</v>
      </c>
      <c r="E244" s="505" t="s">
        <v>220</v>
      </c>
      <c r="F244" s="505" t="s">
        <v>451</v>
      </c>
      <c r="G244" s="505" t="s">
        <v>227</v>
      </c>
      <c r="H244" s="505"/>
      <c r="I244" s="505"/>
      <c r="J244" s="505"/>
      <c r="K244" s="502" t="s">
        <v>454</v>
      </c>
      <c r="L244" s="426"/>
      <c r="M244" s="426"/>
      <c r="N244" s="426"/>
      <c r="O244" s="426">
        <f>+L244+M244-N244</f>
        <v>0</v>
      </c>
      <c r="P244" s="602"/>
      <c r="Q244" s="603"/>
      <c r="R244" s="604"/>
      <c r="S244" s="426"/>
      <c r="T244" s="426"/>
      <c r="U244" s="601"/>
      <c r="V244" s="737">
        <v>0</v>
      </c>
      <c r="W244" s="426"/>
      <c r="X244" s="522"/>
      <c r="Y244" s="522"/>
      <c r="Z244" s="738">
        <f t="shared" si="173"/>
        <v>0</v>
      </c>
      <c r="AA244" s="739">
        <f t="shared" si="174"/>
        <v>0</v>
      </c>
    </row>
    <row r="245" spans="1:27" s="174" customFormat="1" ht="22.5" customHeight="1" thickTop="1" thickBot="1" x14ac:dyDescent="0.3">
      <c r="A245" s="425">
        <v>1</v>
      </c>
      <c r="B245" s="425">
        <v>1</v>
      </c>
      <c r="C245" s="505" t="s">
        <v>227</v>
      </c>
      <c r="D245" s="505" t="s">
        <v>220</v>
      </c>
      <c r="E245" s="505" t="s">
        <v>220</v>
      </c>
      <c r="F245" s="505" t="s">
        <v>451</v>
      </c>
      <c r="G245" s="505" t="s">
        <v>229</v>
      </c>
      <c r="H245" s="505"/>
      <c r="I245" s="505"/>
      <c r="J245" s="505"/>
      <c r="K245" s="502" t="s">
        <v>455</v>
      </c>
      <c r="L245" s="426"/>
      <c r="M245" s="426"/>
      <c r="N245" s="426"/>
      <c r="O245" s="426">
        <f>+L245+M245-N245</f>
        <v>0</v>
      </c>
      <c r="P245" s="602"/>
      <c r="Q245" s="603"/>
      <c r="R245" s="604"/>
      <c r="S245" s="426"/>
      <c r="T245" s="426"/>
      <c r="U245" s="601"/>
      <c r="V245" s="737">
        <v>0</v>
      </c>
      <c r="W245" s="426"/>
      <c r="X245" s="522"/>
      <c r="Y245" s="522"/>
      <c r="Z245" s="738">
        <f t="shared" si="173"/>
        <v>0</v>
      </c>
      <c r="AA245" s="739">
        <f t="shared" si="174"/>
        <v>0</v>
      </c>
    </row>
    <row r="246" spans="1:27" s="174" customFormat="1" ht="22.5" customHeight="1" thickTop="1" thickBot="1" x14ac:dyDescent="0.3">
      <c r="A246" s="425">
        <v>1</v>
      </c>
      <c r="B246" s="425">
        <v>1</v>
      </c>
      <c r="C246" s="505" t="s">
        <v>227</v>
      </c>
      <c r="D246" s="505" t="s">
        <v>220</v>
      </c>
      <c r="E246" s="505" t="s">
        <v>231</v>
      </c>
      <c r="F246" s="505"/>
      <c r="G246" s="505"/>
      <c r="H246" s="505"/>
      <c r="I246" s="505"/>
      <c r="J246" s="505"/>
      <c r="K246" s="502" t="s">
        <v>456</v>
      </c>
      <c r="L246" s="426">
        <f>+L247+L265+L278</f>
        <v>0</v>
      </c>
      <c r="M246" s="426">
        <f t="shared" ref="M246:U246" si="175">+M247+M265+M278</f>
        <v>0</v>
      </c>
      <c r="N246" s="426">
        <f t="shared" si="175"/>
        <v>0</v>
      </c>
      <c r="O246" s="426">
        <f t="shared" si="175"/>
        <v>0</v>
      </c>
      <c r="P246" s="602">
        <f t="shared" si="175"/>
        <v>0</v>
      </c>
      <c r="Q246" s="603">
        <f t="shared" si="175"/>
        <v>0</v>
      </c>
      <c r="R246" s="604">
        <f t="shared" si="175"/>
        <v>0</v>
      </c>
      <c r="S246" s="426">
        <f t="shared" si="175"/>
        <v>0</v>
      </c>
      <c r="T246" s="426">
        <f t="shared" si="175"/>
        <v>0</v>
      </c>
      <c r="U246" s="601">
        <f t="shared" si="175"/>
        <v>0</v>
      </c>
      <c r="V246" s="426" t="e">
        <f t="shared" si="136"/>
        <v>#DIV/0!</v>
      </c>
      <c r="W246" s="426"/>
      <c r="X246" s="522"/>
      <c r="Y246" s="522"/>
    </row>
    <row r="247" spans="1:27" s="174" customFormat="1" ht="22.5" customHeight="1" thickTop="1" thickBot="1" x14ac:dyDescent="0.3">
      <c r="A247" s="425">
        <v>1</v>
      </c>
      <c r="B247" s="425">
        <v>1</v>
      </c>
      <c r="C247" s="505" t="s">
        <v>227</v>
      </c>
      <c r="D247" s="505" t="s">
        <v>220</v>
      </c>
      <c r="E247" s="505" t="s">
        <v>231</v>
      </c>
      <c r="F247" s="505" t="s">
        <v>307</v>
      </c>
      <c r="G247" s="505"/>
      <c r="H247" s="505"/>
      <c r="I247" s="505"/>
      <c r="J247" s="505"/>
      <c r="K247" s="502" t="s">
        <v>457</v>
      </c>
      <c r="L247" s="426">
        <f>+L248+L252+L256</f>
        <v>0</v>
      </c>
      <c r="M247" s="426">
        <f t="shared" ref="M247:U247" si="176">+M248+M252+M256</f>
        <v>0</v>
      </c>
      <c r="N247" s="426">
        <f t="shared" si="176"/>
        <v>0</v>
      </c>
      <c r="O247" s="426">
        <f t="shared" si="176"/>
        <v>0</v>
      </c>
      <c r="P247" s="602">
        <f t="shared" si="176"/>
        <v>0</v>
      </c>
      <c r="Q247" s="603">
        <f t="shared" si="176"/>
        <v>0</v>
      </c>
      <c r="R247" s="604">
        <f t="shared" si="176"/>
        <v>0</v>
      </c>
      <c r="S247" s="426">
        <f t="shared" si="176"/>
        <v>0</v>
      </c>
      <c r="T247" s="426">
        <f t="shared" si="176"/>
        <v>0</v>
      </c>
      <c r="U247" s="601">
        <f t="shared" si="176"/>
        <v>0</v>
      </c>
      <c r="V247" s="426" t="e">
        <f t="shared" si="136"/>
        <v>#DIV/0!</v>
      </c>
      <c r="W247" s="426"/>
      <c r="X247" s="522"/>
      <c r="Y247" s="522"/>
    </row>
    <row r="248" spans="1:27" s="174" customFormat="1" ht="22.5" customHeight="1" thickTop="1" thickBot="1" x14ac:dyDescent="0.3">
      <c r="A248" s="425">
        <v>1</v>
      </c>
      <c r="B248" s="425">
        <v>1</v>
      </c>
      <c r="C248" s="505" t="s">
        <v>227</v>
      </c>
      <c r="D248" s="505" t="s">
        <v>220</v>
      </c>
      <c r="E248" s="505" t="s">
        <v>231</v>
      </c>
      <c r="F248" s="505" t="s">
        <v>307</v>
      </c>
      <c r="G248" s="505" t="s">
        <v>220</v>
      </c>
      <c r="H248" s="505"/>
      <c r="I248" s="505"/>
      <c r="J248" s="505"/>
      <c r="K248" s="502" t="s">
        <v>458</v>
      </c>
      <c r="L248" s="426">
        <f>SUM(L249:L251)</f>
        <v>0</v>
      </c>
      <c r="M248" s="426">
        <f t="shared" ref="M248:U248" si="177">SUM(M249:M251)</f>
        <v>0</v>
      </c>
      <c r="N248" s="426">
        <f t="shared" si="177"/>
        <v>0</v>
      </c>
      <c r="O248" s="426">
        <f t="shared" si="177"/>
        <v>0</v>
      </c>
      <c r="P248" s="602">
        <f t="shared" si="177"/>
        <v>0</v>
      </c>
      <c r="Q248" s="603">
        <f t="shared" si="177"/>
        <v>0</v>
      </c>
      <c r="R248" s="604">
        <f t="shared" si="177"/>
        <v>0</v>
      </c>
      <c r="S248" s="426">
        <f t="shared" si="177"/>
        <v>0</v>
      </c>
      <c r="T248" s="426">
        <f t="shared" si="177"/>
        <v>0</v>
      </c>
      <c r="U248" s="601">
        <f t="shared" si="177"/>
        <v>0</v>
      </c>
      <c r="V248" s="426" t="e">
        <f t="shared" si="136"/>
        <v>#DIV/0!</v>
      </c>
      <c r="W248" s="426"/>
      <c r="X248" s="522"/>
      <c r="Y248" s="522"/>
    </row>
    <row r="249" spans="1:27" s="174" customFormat="1" ht="22.5" customHeight="1" thickTop="1" thickBot="1" x14ac:dyDescent="0.3">
      <c r="A249" s="425">
        <v>1</v>
      </c>
      <c r="B249" s="425">
        <v>1</v>
      </c>
      <c r="C249" s="505" t="s">
        <v>227</v>
      </c>
      <c r="D249" s="505" t="s">
        <v>220</v>
      </c>
      <c r="E249" s="505" t="s">
        <v>231</v>
      </c>
      <c r="F249" s="505" t="s">
        <v>307</v>
      </c>
      <c r="G249" s="505" t="s">
        <v>220</v>
      </c>
      <c r="H249" s="505" t="s">
        <v>216</v>
      </c>
      <c r="I249" s="505"/>
      <c r="J249" s="505"/>
      <c r="K249" s="502" t="s">
        <v>459</v>
      </c>
      <c r="L249" s="426"/>
      <c r="M249" s="426"/>
      <c r="N249" s="426"/>
      <c r="O249" s="426">
        <f>+L249+M249-N249</f>
        <v>0</v>
      </c>
      <c r="P249" s="602"/>
      <c r="Q249" s="603"/>
      <c r="R249" s="604"/>
      <c r="S249" s="426"/>
      <c r="T249" s="426"/>
      <c r="U249" s="601"/>
      <c r="V249" s="737">
        <v>0</v>
      </c>
      <c r="W249" s="426"/>
      <c r="X249" s="522"/>
      <c r="Y249" s="522"/>
      <c r="Z249" s="738">
        <f t="shared" ref="Z249:Z251" si="178">SUBTOTAL(9,P249:S249)</f>
        <v>0</v>
      </c>
      <c r="AA249" s="739">
        <f t="shared" ref="AA249:AA251" si="179">+Z249-O249</f>
        <v>0</v>
      </c>
    </row>
    <row r="250" spans="1:27" s="174" customFormat="1" ht="22.5" customHeight="1" thickTop="1" thickBot="1" x14ac:dyDescent="0.3">
      <c r="A250" s="425">
        <v>1</v>
      </c>
      <c r="B250" s="425">
        <v>1</v>
      </c>
      <c r="C250" s="505" t="s">
        <v>227</v>
      </c>
      <c r="D250" s="505" t="s">
        <v>220</v>
      </c>
      <c r="E250" s="505" t="s">
        <v>231</v>
      </c>
      <c r="F250" s="505" t="s">
        <v>307</v>
      </c>
      <c r="G250" s="505" t="s">
        <v>220</v>
      </c>
      <c r="H250" s="505" t="s">
        <v>227</v>
      </c>
      <c r="I250" s="505"/>
      <c r="J250" s="505"/>
      <c r="K250" s="502" t="s">
        <v>460</v>
      </c>
      <c r="L250" s="426"/>
      <c r="M250" s="426"/>
      <c r="N250" s="426"/>
      <c r="O250" s="426">
        <f>+L250+M250-N250</f>
        <v>0</v>
      </c>
      <c r="P250" s="602"/>
      <c r="Q250" s="603"/>
      <c r="R250" s="604"/>
      <c r="S250" s="426"/>
      <c r="T250" s="426"/>
      <c r="U250" s="601"/>
      <c r="V250" s="737">
        <v>0</v>
      </c>
      <c r="W250" s="426"/>
      <c r="X250" s="522"/>
      <c r="Y250" s="522"/>
      <c r="Z250" s="738">
        <f t="shared" si="178"/>
        <v>0</v>
      </c>
      <c r="AA250" s="739">
        <f t="shared" si="179"/>
        <v>0</v>
      </c>
    </row>
    <row r="251" spans="1:27" s="174" customFormat="1" ht="22.5" customHeight="1" thickTop="1" thickBot="1" x14ac:dyDescent="0.3">
      <c r="A251" s="425">
        <v>1</v>
      </c>
      <c r="B251" s="425">
        <v>1</v>
      </c>
      <c r="C251" s="505" t="s">
        <v>227</v>
      </c>
      <c r="D251" s="505" t="s">
        <v>220</v>
      </c>
      <c r="E251" s="505" t="s">
        <v>231</v>
      </c>
      <c r="F251" s="505" t="s">
        <v>307</v>
      </c>
      <c r="G251" s="505" t="s">
        <v>220</v>
      </c>
      <c r="H251" s="505" t="s">
        <v>229</v>
      </c>
      <c r="I251" s="505"/>
      <c r="J251" s="505"/>
      <c r="K251" s="502" t="s">
        <v>461</v>
      </c>
      <c r="L251" s="426"/>
      <c r="M251" s="426"/>
      <c r="N251" s="426"/>
      <c r="O251" s="426">
        <f>+L251+M251-N251</f>
        <v>0</v>
      </c>
      <c r="P251" s="602"/>
      <c r="Q251" s="603"/>
      <c r="R251" s="604"/>
      <c r="S251" s="426"/>
      <c r="T251" s="426"/>
      <c r="U251" s="601"/>
      <c r="V251" s="737">
        <v>0</v>
      </c>
      <c r="W251" s="426"/>
      <c r="X251" s="522"/>
      <c r="Y251" s="522"/>
      <c r="Z251" s="738">
        <f t="shared" si="178"/>
        <v>0</v>
      </c>
      <c r="AA251" s="739">
        <f t="shared" si="179"/>
        <v>0</v>
      </c>
    </row>
    <row r="252" spans="1:27" s="174" customFormat="1" ht="16.5" thickTop="1" thickBot="1" x14ac:dyDescent="0.3">
      <c r="A252" s="425">
        <v>1</v>
      </c>
      <c r="B252" s="425">
        <v>1</v>
      </c>
      <c r="C252" s="505" t="s">
        <v>227</v>
      </c>
      <c r="D252" s="505" t="s">
        <v>220</v>
      </c>
      <c r="E252" s="505" t="s">
        <v>231</v>
      </c>
      <c r="F252" s="505" t="s">
        <v>307</v>
      </c>
      <c r="G252" s="505" t="s">
        <v>231</v>
      </c>
      <c r="H252" s="505"/>
      <c r="I252" s="505"/>
      <c r="J252" s="505"/>
      <c r="K252" s="502" t="s">
        <v>462</v>
      </c>
      <c r="L252" s="426">
        <f>SUM(L253:L255)</f>
        <v>0</v>
      </c>
      <c r="M252" s="426">
        <f t="shared" ref="M252:U252" si="180">SUM(M253:M255)</f>
        <v>0</v>
      </c>
      <c r="N252" s="426">
        <f t="shared" si="180"/>
        <v>0</v>
      </c>
      <c r="O252" s="426">
        <f t="shared" si="180"/>
        <v>0</v>
      </c>
      <c r="P252" s="602">
        <f t="shared" si="180"/>
        <v>0</v>
      </c>
      <c r="Q252" s="603">
        <f t="shared" si="180"/>
        <v>0</v>
      </c>
      <c r="R252" s="604">
        <f t="shared" si="180"/>
        <v>0</v>
      </c>
      <c r="S252" s="426">
        <f t="shared" si="180"/>
        <v>0</v>
      </c>
      <c r="T252" s="426">
        <f t="shared" si="180"/>
        <v>0</v>
      </c>
      <c r="U252" s="601">
        <f t="shared" si="180"/>
        <v>0</v>
      </c>
      <c r="V252" s="426" t="e">
        <f t="shared" si="136"/>
        <v>#DIV/0!</v>
      </c>
      <c r="W252" s="426"/>
      <c r="X252" s="522"/>
      <c r="Y252" s="522"/>
    </row>
    <row r="253" spans="1:27" s="174" customFormat="1" ht="22.5" customHeight="1" thickTop="1" thickBot="1" x14ac:dyDescent="0.3">
      <c r="A253" s="425">
        <v>1</v>
      </c>
      <c r="B253" s="425">
        <v>1</v>
      </c>
      <c r="C253" s="505" t="s">
        <v>227</v>
      </c>
      <c r="D253" s="505" t="s">
        <v>220</v>
      </c>
      <c r="E253" s="505" t="s">
        <v>231</v>
      </c>
      <c r="F253" s="505" t="s">
        <v>307</v>
      </c>
      <c r="G253" s="505" t="s">
        <v>231</v>
      </c>
      <c r="H253" s="505" t="s">
        <v>216</v>
      </c>
      <c r="I253" s="505"/>
      <c r="J253" s="505"/>
      <c r="K253" s="502" t="s">
        <v>463</v>
      </c>
      <c r="L253" s="426"/>
      <c r="M253" s="426"/>
      <c r="N253" s="426"/>
      <c r="O253" s="426">
        <f>+L253+M253-N253</f>
        <v>0</v>
      </c>
      <c r="P253" s="602"/>
      <c r="Q253" s="603"/>
      <c r="R253" s="604"/>
      <c r="S253" s="426"/>
      <c r="T253" s="426"/>
      <c r="U253" s="601"/>
      <c r="V253" s="737">
        <v>0</v>
      </c>
      <c r="W253" s="426"/>
      <c r="X253" s="522"/>
      <c r="Y253" s="522"/>
      <c r="Z253" s="738">
        <f t="shared" ref="Z253:Z255" si="181">SUBTOTAL(9,P253:S253)</f>
        <v>0</v>
      </c>
      <c r="AA253" s="739">
        <f t="shared" ref="AA253:AA255" si="182">+Z253-O253</f>
        <v>0</v>
      </c>
    </row>
    <row r="254" spans="1:27" s="174" customFormat="1" ht="22.5" customHeight="1" thickTop="1" thickBot="1" x14ac:dyDescent="0.3">
      <c r="A254" s="425">
        <v>1</v>
      </c>
      <c r="B254" s="425">
        <v>1</v>
      </c>
      <c r="C254" s="505" t="s">
        <v>227</v>
      </c>
      <c r="D254" s="505" t="s">
        <v>220</v>
      </c>
      <c r="E254" s="505" t="s">
        <v>231</v>
      </c>
      <c r="F254" s="505" t="s">
        <v>307</v>
      </c>
      <c r="G254" s="505" t="s">
        <v>231</v>
      </c>
      <c r="H254" s="505" t="s">
        <v>227</v>
      </c>
      <c r="I254" s="505"/>
      <c r="J254" s="505"/>
      <c r="K254" s="502" t="s">
        <v>464</v>
      </c>
      <c r="L254" s="426"/>
      <c r="M254" s="426"/>
      <c r="N254" s="426"/>
      <c r="O254" s="426">
        <f>+L254+M254-N254</f>
        <v>0</v>
      </c>
      <c r="P254" s="602"/>
      <c r="Q254" s="603"/>
      <c r="R254" s="604"/>
      <c r="S254" s="426"/>
      <c r="T254" s="426"/>
      <c r="U254" s="601"/>
      <c r="V254" s="737">
        <v>0</v>
      </c>
      <c r="W254" s="426"/>
      <c r="X254" s="522"/>
      <c r="Y254" s="522"/>
      <c r="Z254" s="738">
        <f t="shared" si="181"/>
        <v>0</v>
      </c>
      <c r="AA254" s="739">
        <f t="shared" si="182"/>
        <v>0</v>
      </c>
    </row>
    <row r="255" spans="1:27" s="174" customFormat="1" ht="22.5" customHeight="1" thickTop="1" thickBot="1" x14ac:dyDescent="0.3">
      <c r="A255" s="425">
        <v>1</v>
      </c>
      <c r="B255" s="425">
        <v>1</v>
      </c>
      <c r="C255" s="505" t="s">
        <v>227</v>
      </c>
      <c r="D255" s="505" t="s">
        <v>220</v>
      </c>
      <c r="E255" s="505" t="s">
        <v>231</v>
      </c>
      <c r="F255" s="505" t="s">
        <v>307</v>
      </c>
      <c r="G255" s="505" t="s">
        <v>231</v>
      </c>
      <c r="H255" s="505" t="s">
        <v>229</v>
      </c>
      <c r="I255" s="505"/>
      <c r="J255" s="505"/>
      <c r="K255" s="502" t="s">
        <v>465</v>
      </c>
      <c r="L255" s="426"/>
      <c r="M255" s="426"/>
      <c r="N255" s="426"/>
      <c r="O255" s="426">
        <f>+L255+M255-N255</f>
        <v>0</v>
      </c>
      <c r="P255" s="602"/>
      <c r="Q255" s="603"/>
      <c r="R255" s="604"/>
      <c r="S255" s="426"/>
      <c r="T255" s="426"/>
      <c r="U255" s="601"/>
      <c r="V255" s="737">
        <v>0</v>
      </c>
      <c r="W255" s="426"/>
      <c r="X255" s="522"/>
      <c r="Y255" s="522"/>
      <c r="Z255" s="738">
        <f t="shared" si="181"/>
        <v>0</v>
      </c>
      <c r="AA255" s="739">
        <f t="shared" si="182"/>
        <v>0</v>
      </c>
    </row>
    <row r="256" spans="1:27" ht="22.5" customHeight="1" thickTop="1" thickBot="1" x14ac:dyDescent="0.3">
      <c r="A256" s="425">
        <v>1</v>
      </c>
      <c r="B256" s="425">
        <v>1</v>
      </c>
      <c r="C256" s="505" t="s">
        <v>227</v>
      </c>
      <c r="D256" s="505" t="s">
        <v>220</v>
      </c>
      <c r="E256" s="505" t="s">
        <v>231</v>
      </c>
      <c r="F256" s="505" t="s">
        <v>307</v>
      </c>
      <c r="G256" s="505" t="s">
        <v>305</v>
      </c>
      <c r="H256" s="505"/>
      <c r="I256" s="505"/>
      <c r="J256" s="505"/>
      <c r="K256" s="502" t="s">
        <v>466</v>
      </c>
      <c r="L256" s="427">
        <f>+L257+L261</f>
        <v>0</v>
      </c>
      <c r="M256" s="427">
        <f t="shared" ref="M256:U256" si="183">+M257+M261</f>
        <v>0</v>
      </c>
      <c r="N256" s="427">
        <f t="shared" si="183"/>
        <v>0</v>
      </c>
      <c r="O256" s="427">
        <f t="shared" si="183"/>
        <v>0</v>
      </c>
      <c r="P256" s="605">
        <f t="shared" si="183"/>
        <v>0</v>
      </c>
      <c r="Q256" s="606">
        <f t="shared" si="183"/>
        <v>0</v>
      </c>
      <c r="R256" s="607">
        <f t="shared" si="183"/>
        <v>0</v>
      </c>
      <c r="S256" s="427">
        <f t="shared" si="183"/>
        <v>0</v>
      </c>
      <c r="T256" s="427">
        <f t="shared" si="183"/>
        <v>0</v>
      </c>
      <c r="U256" s="608">
        <f t="shared" si="183"/>
        <v>0</v>
      </c>
      <c r="V256" s="427" t="e">
        <f t="shared" si="136"/>
        <v>#DIV/0!</v>
      </c>
      <c r="W256" s="427"/>
      <c r="X256" s="522"/>
      <c r="Y256" s="522"/>
    </row>
    <row r="257" spans="1:27" ht="22.5" customHeight="1" thickTop="1" thickBot="1" x14ac:dyDescent="0.3">
      <c r="A257" s="425">
        <v>1</v>
      </c>
      <c r="B257" s="425">
        <v>1</v>
      </c>
      <c r="C257" s="505" t="s">
        <v>227</v>
      </c>
      <c r="D257" s="505" t="s">
        <v>220</v>
      </c>
      <c r="E257" s="505" t="s">
        <v>231</v>
      </c>
      <c r="F257" s="505" t="s">
        <v>307</v>
      </c>
      <c r="G257" s="505" t="s">
        <v>305</v>
      </c>
      <c r="H257" s="505" t="s">
        <v>220</v>
      </c>
      <c r="I257" s="505"/>
      <c r="J257" s="505"/>
      <c r="K257" s="502" t="s">
        <v>467</v>
      </c>
      <c r="L257" s="427">
        <f>SUM(L258:L260)</f>
        <v>0</v>
      </c>
      <c r="M257" s="427">
        <f t="shared" ref="M257:U257" si="184">SUM(M258:M260)</f>
        <v>0</v>
      </c>
      <c r="N257" s="427">
        <f t="shared" si="184"/>
        <v>0</v>
      </c>
      <c r="O257" s="427">
        <f t="shared" si="184"/>
        <v>0</v>
      </c>
      <c r="P257" s="605">
        <f t="shared" si="184"/>
        <v>0</v>
      </c>
      <c r="Q257" s="606">
        <f t="shared" si="184"/>
        <v>0</v>
      </c>
      <c r="R257" s="607">
        <f t="shared" si="184"/>
        <v>0</v>
      </c>
      <c r="S257" s="427">
        <f t="shared" si="184"/>
        <v>0</v>
      </c>
      <c r="T257" s="427">
        <f t="shared" si="184"/>
        <v>0</v>
      </c>
      <c r="U257" s="608">
        <f t="shared" si="184"/>
        <v>0</v>
      </c>
      <c r="V257" s="427" t="e">
        <f t="shared" si="136"/>
        <v>#DIV/0!</v>
      </c>
      <c r="W257" s="427"/>
      <c r="X257" s="522"/>
      <c r="Y257" s="522"/>
    </row>
    <row r="258" spans="1:27" ht="22.5" customHeight="1" thickTop="1" thickBot="1" x14ac:dyDescent="0.3">
      <c r="A258" s="425">
        <v>1</v>
      </c>
      <c r="B258" s="425">
        <v>1</v>
      </c>
      <c r="C258" s="505" t="s">
        <v>227</v>
      </c>
      <c r="D258" s="505" t="s">
        <v>220</v>
      </c>
      <c r="E258" s="505" t="s">
        <v>231</v>
      </c>
      <c r="F258" s="505" t="s">
        <v>307</v>
      </c>
      <c r="G258" s="505" t="s">
        <v>305</v>
      </c>
      <c r="H258" s="505" t="s">
        <v>220</v>
      </c>
      <c r="I258" s="505" t="s">
        <v>216</v>
      </c>
      <c r="J258" s="505"/>
      <c r="K258" s="502" t="s">
        <v>468</v>
      </c>
      <c r="L258" s="427"/>
      <c r="M258" s="427"/>
      <c r="N258" s="427"/>
      <c r="O258" s="426">
        <f>+L258+M258-N258</f>
        <v>0</v>
      </c>
      <c r="P258" s="605"/>
      <c r="Q258" s="606"/>
      <c r="R258" s="607"/>
      <c r="S258" s="427"/>
      <c r="T258" s="427"/>
      <c r="U258" s="608"/>
      <c r="V258" s="737">
        <v>0</v>
      </c>
      <c r="W258" s="427"/>
      <c r="X258" s="522"/>
      <c r="Y258" s="522"/>
      <c r="Z258" s="738">
        <f t="shared" ref="Z258:Z260" si="185">SUBTOTAL(9,P258:S258)</f>
        <v>0</v>
      </c>
      <c r="AA258" s="739">
        <f t="shared" ref="AA258:AA260" si="186">+Z258-O258</f>
        <v>0</v>
      </c>
    </row>
    <row r="259" spans="1:27" ht="22.5" customHeight="1" thickTop="1" thickBot="1" x14ac:dyDescent="0.3">
      <c r="A259" s="425">
        <v>1</v>
      </c>
      <c r="B259" s="425">
        <v>1</v>
      </c>
      <c r="C259" s="505" t="s">
        <v>227</v>
      </c>
      <c r="D259" s="505" t="s">
        <v>220</v>
      </c>
      <c r="E259" s="505" t="s">
        <v>231</v>
      </c>
      <c r="F259" s="505" t="s">
        <v>307</v>
      </c>
      <c r="G259" s="505" t="s">
        <v>305</v>
      </c>
      <c r="H259" s="505" t="s">
        <v>220</v>
      </c>
      <c r="I259" s="505" t="s">
        <v>227</v>
      </c>
      <c r="J259" s="505"/>
      <c r="K259" s="502" t="s">
        <v>469</v>
      </c>
      <c r="L259" s="427"/>
      <c r="M259" s="427"/>
      <c r="N259" s="427"/>
      <c r="O259" s="426">
        <f>+L259+M259-N259</f>
        <v>0</v>
      </c>
      <c r="P259" s="605"/>
      <c r="Q259" s="606"/>
      <c r="R259" s="607"/>
      <c r="S259" s="427"/>
      <c r="T259" s="427"/>
      <c r="U259" s="608"/>
      <c r="V259" s="737">
        <v>0</v>
      </c>
      <c r="W259" s="427"/>
      <c r="X259" s="522"/>
      <c r="Y259" s="522"/>
      <c r="Z259" s="738">
        <f t="shared" si="185"/>
        <v>0</v>
      </c>
      <c r="AA259" s="739">
        <f t="shared" si="186"/>
        <v>0</v>
      </c>
    </row>
    <row r="260" spans="1:27" ht="22.5" customHeight="1" thickTop="1" thickBot="1" x14ac:dyDescent="0.3">
      <c r="A260" s="425">
        <v>1</v>
      </c>
      <c r="B260" s="425">
        <v>1</v>
      </c>
      <c r="C260" s="505" t="s">
        <v>227</v>
      </c>
      <c r="D260" s="505" t="s">
        <v>220</v>
      </c>
      <c r="E260" s="505" t="s">
        <v>231</v>
      </c>
      <c r="F260" s="505" t="s">
        <v>307</v>
      </c>
      <c r="G260" s="505" t="s">
        <v>305</v>
      </c>
      <c r="H260" s="505" t="s">
        <v>220</v>
      </c>
      <c r="I260" s="505" t="s">
        <v>229</v>
      </c>
      <c r="J260" s="505"/>
      <c r="K260" s="502" t="s">
        <v>470</v>
      </c>
      <c r="L260" s="427"/>
      <c r="M260" s="427"/>
      <c r="N260" s="427"/>
      <c r="O260" s="426">
        <f>+L260+M260-N260</f>
        <v>0</v>
      </c>
      <c r="P260" s="605"/>
      <c r="Q260" s="606"/>
      <c r="R260" s="607"/>
      <c r="S260" s="427"/>
      <c r="T260" s="427"/>
      <c r="U260" s="608"/>
      <c r="V260" s="737">
        <v>0</v>
      </c>
      <c r="W260" s="427"/>
      <c r="X260" s="522"/>
      <c r="Y260" s="522"/>
      <c r="Z260" s="738">
        <f t="shared" si="185"/>
        <v>0</v>
      </c>
      <c r="AA260" s="739">
        <f t="shared" si="186"/>
        <v>0</v>
      </c>
    </row>
    <row r="261" spans="1:27" ht="22.5" customHeight="1" thickTop="1" thickBot="1" x14ac:dyDescent="0.3">
      <c r="A261" s="425">
        <v>1</v>
      </c>
      <c r="B261" s="425">
        <v>1</v>
      </c>
      <c r="C261" s="505" t="s">
        <v>227</v>
      </c>
      <c r="D261" s="505" t="s">
        <v>220</v>
      </c>
      <c r="E261" s="505" t="s">
        <v>231</v>
      </c>
      <c r="F261" s="505" t="s">
        <v>307</v>
      </c>
      <c r="G261" s="505" t="s">
        <v>305</v>
      </c>
      <c r="H261" s="505" t="s">
        <v>231</v>
      </c>
      <c r="I261" s="505"/>
      <c r="J261" s="505"/>
      <c r="K261" s="502" t="s">
        <v>471</v>
      </c>
      <c r="L261" s="427">
        <f>SUM(L262:L264)</f>
        <v>0</v>
      </c>
      <c r="M261" s="427">
        <f t="shared" ref="M261:U261" si="187">SUM(M262:M264)</f>
        <v>0</v>
      </c>
      <c r="N261" s="427">
        <f t="shared" si="187"/>
        <v>0</v>
      </c>
      <c r="O261" s="427">
        <f t="shared" si="187"/>
        <v>0</v>
      </c>
      <c r="P261" s="605">
        <f t="shared" si="187"/>
        <v>0</v>
      </c>
      <c r="Q261" s="606">
        <f t="shared" si="187"/>
        <v>0</v>
      </c>
      <c r="R261" s="607">
        <f t="shared" si="187"/>
        <v>0</v>
      </c>
      <c r="S261" s="427">
        <f t="shared" si="187"/>
        <v>0</v>
      </c>
      <c r="T261" s="427">
        <f t="shared" si="187"/>
        <v>0</v>
      </c>
      <c r="U261" s="608">
        <f t="shared" si="187"/>
        <v>0</v>
      </c>
      <c r="V261" s="427" t="e">
        <f t="shared" si="136"/>
        <v>#DIV/0!</v>
      </c>
      <c r="W261" s="427"/>
      <c r="X261" s="522"/>
      <c r="Y261" s="522"/>
    </row>
    <row r="262" spans="1:27" ht="22.5" customHeight="1" thickTop="1" thickBot="1" x14ac:dyDescent="0.3">
      <c r="A262" s="425">
        <v>1</v>
      </c>
      <c r="B262" s="425">
        <v>1</v>
      </c>
      <c r="C262" s="505" t="s">
        <v>227</v>
      </c>
      <c r="D262" s="505" t="s">
        <v>220</v>
      </c>
      <c r="E262" s="505" t="s">
        <v>231</v>
      </c>
      <c r="F262" s="505" t="s">
        <v>307</v>
      </c>
      <c r="G262" s="505" t="s">
        <v>305</v>
      </c>
      <c r="H262" s="505" t="s">
        <v>231</v>
      </c>
      <c r="I262" s="505" t="s">
        <v>216</v>
      </c>
      <c r="J262" s="505"/>
      <c r="K262" s="502" t="s">
        <v>472</v>
      </c>
      <c r="L262" s="427"/>
      <c r="M262" s="427"/>
      <c r="N262" s="427"/>
      <c r="O262" s="426">
        <f>+L262+M262-N262</f>
        <v>0</v>
      </c>
      <c r="P262" s="605"/>
      <c r="Q262" s="606"/>
      <c r="R262" s="607"/>
      <c r="S262" s="427"/>
      <c r="T262" s="427"/>
      <c r="U262" s="608"/>
      <c r="V262" s="737">
        <v>0</v>
      </c>
      <c r="W262" s="427"/>
      <c r="X262" s="522"/>
      <c r="Y262" s="522"/>
      <c r="Z262" s="738">
        <f t="shared" ref="Z262:Z264" si="188">SUBTOTAL(9,P262:S262)</f>
        <v>0</v>
      </c>
      <c r="AA262" s="739">
        <f t="shared" ref="AA262:AA264" si="189">+Z262-O262</f>
        <v>0</v>
      </c>
    </row>
    <row r="263" spans="1:27" ht="22.5" customHeight="1" thickTop="1" thickBot="1" x14ac:dyDescent="0.3">
      <c r="A263" s="425">
        <v>1</v>
      </c>
      <c r="B263" s="425">
        <v>1</v>
      </c>
      <c r="C263" s="505" t="s">
        <v>227</v>
      </c>
      <c r="D263" s="505" t="s">
        <v>220</v>
      </c>
      <c r="E263" s="505" t="s">
        <v>231</v>
      </c>
      <c r="F263" s="505" t="s">
        <v>307</v>
      </c>
      <c r="G263" s="505" t="s">
        <v>305</v>
      </c>
      <c r="H263" s="505" t="s">
        <v>231</v>
      </c>
      <c r="I263" s="505" t="s">
        <v>227</v>
      </c>
      <c r="J263" s="505"/>
      <c r="K263" s="502" t="s">
        <v>473</v>
      </c>
      <c r="L263" s="427"/>
      <c r="M263" s="427"/>
      <c r="N263" s="427"/>
      <c r="O263" s="426">
        <f>+L263+M263-N263</f>
        <v>0</v>
      </c>
      <c r="P263" s="605"/>
      <c r="Q263" s="606"/>
      <c r="R263" s="607"/>
      <c r="S263" s="427"/>
      <c r="T263" s="427"/>
      <c r="U263" s="608"/>
      <c r="V263" s="737">
        <v>0</v>
      </c>
      <c r="W263" s="427"/>
      <c r="X263" s="522"/>
      <c r="Y263" s="522"/>
      <c r="Z263" s="738">
        <f t="shared" si="188"/>
        <v>0</v>
      </c>
      <c r="AA263" s="739">
        <f t="shared" si="189"/>
        <v>0</v>
      </c>
    </row>
    <row r="264" spans="1:27" ht="22.5" customHeight="1" thickTop="1" thickBot="1" x14ac:dyDescent="0.3">
      <c r="A264" s="425">
        <v>1</v>
      </c>
      <c r="B264" s="425">
        <v>1</v>
      </c>
      <c r="C264" s="505" t="s">
        <v>227</v>
      </c>
      <c r="D264" s="505" t="s">
        <v>220</v>
      </c>
      <c r="E264" s="505" t="s">
        <v>231</v>
      </c>
      <c r="F264" s="505" t="s">
        <v>307</v>
      </c>
      <c r="G264" s="505" t="s">
        <v>305</v>
      </c>
      <c r="H264" s="505" t="s">
        <v>231</v>
      </c>
      <c r="I264" s="505" t="s">
        <v>229</v>
      </c>
      <c r="J264" s="505"/>
      <c r="K264" s="502" t="s">
        <v>474</v>
      </c>
      <c r="L264" s="427"/>
      <c r="M264" s="427"/>
      <c r="N264" s="427"/>
      <c r="O264" s="426">
        <f>+L264+M264-N264</f>
        <v>0</v>
      </c>
      <c r="P264" s="605"/>
      <c r="Q264" s="606"/>
      <c r="R264" s="607"/>
      <c r="S264" s="427"/>
      <c r="T264" s="427"/>
      <c r="U264" s="608"/>
      <c r="V264" s="737">
        <v>0</v>
      </c>
      <c r="W264" s="427"/>
      <c r="X264" s="522"/>
      <c r="Y264" s="522"/>
      <c r="Z264" s="738">
        <f t="shared" si="188"/>
        <v>0</v>
      </c>
      <c r="AA264" s="739">
        <f t="shared" si="189"/>
        <v>0</v>
      </c>
    </row>
    <row r="265" spans="1:27" ht="22.5" customHeight="1" thickTop="1" thickBot="1" x14ac:dyDescent="0.3">
      <c r="A265" s="425">
        <v>1</v>
      </c>
      <c r="B265" s="425">
        <v>1</v>
      </c>
      <c r="C265" s="505" t="s">
        <v>227</v>
      </c>
      <c r="D265" s="505" t="s">
        <v>220</v>
      </c>
      <c r="E265" s="505" t="s">
        <v>231</v>
      </c>
      <c r="F265" s="505" t="s">
        <v>332</v>
      </c>
      <c r="G265" s="505"/>
      <c r="H265" s="505"/>
      <c r="I265" s="505"/>
      <c r="J265" s="505"/>
      <c r="K265" s="502" t="s">
        <v>475</v>
      </c>
      <c r="L265" s="427">
        <f>+L266+L270+L274</f>
        <v>0</v>
      </c>
      <c r="M265" s="427">
        <f t="shared" ref="M265:U265" si="190">+M266+M270+M274</f>
        <v>0</v>
      </c>
      <c r="N265" s="427">
        <f t="shared" si="190"/>
        <v>0</v>
      </c>
      <c r="O265" s="427">
        <f t="shared" si="190"/>
        <v>0</v>
      </c>
      <c r="P265" s="605">
        <f t="shared" si="190"/>
        <v>0</v>
      </c>
      <c r="Q265" s="606">
        <f t="shared" si="190"/>
        <v>0</v>
      </c>
      <c r="R265" s="607">
        <f t="shared" si="190"/>
        <v>0</v>
      </c>
      <c r="S265" s="427">
        <f t="shared" si="190"/>
        <v>0</v>
      </c>
      <c r="T265" s="427">
        <f t="shared" si="190"/>
        <v>0</v>
      </c>
      <c r="U265" s="608">
        <f t="shared" si="190"/>
        <v>0</v>
      </c>
      <c r="V265" s="427" t="e">
        <f t="shared" ref="V265:V310" si="191">+U265/T265</f>
        <v>#DIV/0!</v>
      </c>
      <c r="W265" s="427"/>
      <c r="X265" s="522"/>
      <c r="Y265" s="522"/>
    </row>
    <row r="266" spans="1:27" ht="22.5" customHeight="1" thickTop="1" thickBot="1" x14ac:dyDescent="0.3">
      <c r="A266" s="425">
        <v>1</v>
      </c>
      <c r="B266" s="425">
        <v>1</v>
      </c>
      <c r="C266" s="505" t="s">
        <v>227</v>
      </c>
      <c r="D266" s="505" t="s">
        <v>220</v>
      </c>
      <c r="E266" s="505" t="s">
        <v>231</v>
      </c>
      <c r="F266" s="505" t="s">
        <v>332</v>
      </c>
      <c r="G266" s="505" t="s">
        <v>220</v>
      </c>
      <c r="H266" s="505"/>
      <c r="I266" s="505"/>
      <c r="J266" s="505"/>
      <c r="K266" s="502" t="s">
        <v>476</v>
      </c>
      <c r="L266" s="427">
        <f>SUM(L267:L269)</f>
        <v>0</v>
      </c>
      <c r="M266" s="427">
        <f t="shared" ref="M266:U266" si="192">SUM(M267:M269)</f>
        <v>0</v>
      </c>
      <c r="N266" s="427">
        <f t="shared" si="192"/>
        <v>0</v>
      </c>
      <c r="O266" s="427">
        <f t="shared" si="192"/>
        <v>0</v>
      </c>
      <c r="P266" s="605">
        <f t="shared" si="192"/>
        <v>0</v>
      </c>
      <c r="Q266" s="606">
        <f t="shared" si="192"/>
        <v>0</v>
      </c>
      <c r="R266" s="607">
        <f t="shared" si="192"/>
        <v>0</v>
      </c>
      <c r="S266" s="427">
        <f t="shared" si="192"/>
        <v>0</v>
      </c>
      <c r="T266" s="427">
        <f t="shared" si="192"/>
        <v>0</v>
      </c>
      <c r="U266" s="608">
        <f t="shared" si="192"/>
        <v>0</v>
      </c>
      <c r="V266" s="427" t="e">
        <f t="shared" si="191"/>
        <v>#DIV/0!</v>
      </c>
      <c r="W266" s="427"/>
      <c r="X266" s="522"/>
      <c r="Y266" s="522"/>
    </row>
    <row r="267" spans="1:27" ht="22.5" customHeight="1" thickTop="1" thickBot="1" x14ac:dyDescent="0.3">
      <c r="A267" s="425">
        <v>1</v>
      </c>
      <c r="B267" s="425">
        <v>1</v>
      </c>
      <c r="C267" s="505" t="s">
        <v>227</v>
      </c>
      <c r="D267" s="505" t="s">
        <v>220</v>
      </c>
      <c r="E267" s="505" t="s">
        <v>231</v>
      </c>
      <c r="F267" s="505" t="s">
        <v>332</v>
      </c>
      <c r="G267" s="505" t="s">
        <v>220</v>
      </c>
      <c r="H267" s="505" t="s">
        <v>216</v>
      </c>
      <c r="I267" s="505"/>
      <c r="J267" s="505"/>
      <c r="K267" s="502" t="s">
        <v>477</v>
      </c>
      <c r="L267" s="427"/>
      <c r="M267" s="427"/>
      <c r="N267" s="427"/>
      <c r="O267" s="426">
        <f>+L267+M267-N267</f>
        <v>0</v>
      </c>
      <c r="P267" s="605"/>
      <c r="Q267" s="606"/>
      <c r="R267" s="607"/>
      <c r="S267" s="427"/>
      <c r="T267" s="427"/>
      <c r="U267" s="608"/>
      <c r="V267" s="737">
        <v>0</v>
      </c>
      <c r="W267" s="427"/>
      <c r="X267" s="522"/>
      <c r="Y267" s="522"/>
      <c r="Z267" s="738">
        <f t="shared" ref="Z267:Z269" si="193">SUBTOTAL(9,P267:S267)</f>
        <v>0</v>
      </c>
      <c r="AA267" s="739">
        <f t="shared" ref="AA267:AA269" si="194">+Z267-O267</f>
        <v>0</v>
      </c>
    </row>
    <row r="268" spans="1:27" ht="22.5" customHeight="1" thickTop="1" thickBot="1" x14ac:dyDescent="0.3">
      <c r="A268" s="425">
        <v>1</v>
      </c>
      <c r="B268" s="425">
        <v>1</v>
      </c>
      <c r="C268" s="505" t="s">
        <v>227</v>
      </c>
      <c r="D268" s="505" t="s">
        <v>220</v>
      </c>
      <c r="E268" s="505" t="s">
        <v>231</v>
      </c>
      <c r="F268" s="505" t="s">
        <v>332</v>
      </c>
      <c r="G268" s="505" t="s">
        <v>220</v>
      </c>
      <c r="H268" s="505" t="s">
        <v>227</v>
      </c>
      <c r="I268" s="505"/>
      <c r="J268" s="505"/>
      <c r="K268" s="502" t="s">
        <v>478</v>
      </c>
      <c r="L268" s="427"/>
      <c r="M268" s="427"/>
      <c r="N268" s="427"/>
      <c r="O268" s="426">
        <f>+L268+M268-N268</f>
        <v>0</v>
      </c>
      <c r="P268" s="605"/>
      <c r="Q268" s="606"/>
      <c r="R268" s="607"/>
      <c r="S268" s="427"/>
      <c r="T268" s="427"/>
      <c r="U268" s="608"/>
      <c r="V268" s="737">
        <v>0</v>
      </c>
      <c r="W268" s="427"/>
      <c r="X268" s="522"/>
      <c r="Y268" s="522"/>
      <c r="Z268" s="738">
        <f t="shared" si="193"/>
        <v>0</v>
      </c>
      <c r="AA268" s="739">
        <f t="shared" si="194"/>
        <v>0</v>
      </c>
    </row>
    <row r="269" spans="1:27" ht="22.5" customHeight="1" thickTop="1" thickBot="1" x14ac:dyDescent="0.3">
      <c r="A269" s="425">
        <v>1</v>
      </c>
      <c r="B269" s="425">
        <v>1</v>
      </c>
      <c r="C269" s="505" t="s">
        <v>227</v>
      </c>
      <c r="D269" s="505" t="s">
        <v>220</v>
      </c>
      <c r="E269" s="505" t="s">
        <v>231</v>
      </c>
      <c r="F269" s="505" t="s">
        <v>332</v>
      </c>
      <c r="G269" s="505" t="s">
        <v>220</v>
      </c>
      <c r="H269" s="505" t="s">
        <v>229</v>
      </c>
      <c r="I269" s="505"/>
      <c r="J269" s="505"/>
      <c r="K269" s="502" t="s">
        <v>479</v>
      </c>
      <c r="L269" s="427"/>
      <c r="M269" s="427"/>
      <c r="N269" s="427"/>
      <c r="O269" s="426">
        <f>+L269+M269-N269</f>
        <v>0</v>
      </c>
      <c r="P269" s="605"/>
      <c r="Q269" s="606"/>
      <c r="R269" s="607"/>
      <c r="S269" s="427"/>
      <c r="T269" s="427"/>
      <c r="U269" s="608"/>
      <c r="V269" s="737">
        <v>0</v>
      </c>
      <c r="W269" s="427"/>
      <c r="X269" s="522"/>
      <c r="Y269" s="522"/>
      <c r="Z269" s="738">
        <f t="shared" si="193"/>
        <v>0</v>
      </c>
      <c r="AA269" s="739">
        <f t="shared" si="194"/>
        <v>0</v>
      </c>
    </row>
    <row r="270" spans="1:27" ht="22.5" customHeight="1" thickTop="1" thickBot="1" x14ac:dyDescent="0.3">
      <c r="A270" s="425">
        <v>1</v>
      </c>
      <c r="B270" s="425">
        <v>1</v>
      </c>
      <c r="C270" s="505" t="s">
        <v>227</v>
      </c>
      <c r="D270" s="505" t="s">
        <v>220</v>
      </c>
      <c r="E270" s="505" t="s">
        <v>231</v>
      </c>
      <c r="F270" s="505" t="s">
        <v>332</v>
      </c>
      <c r="G270" s="505" t="s">
        <v>231</v>
      </c>
      <c r="H270" s="505"/>
      <c r="I270" s="505"/>
      <c r="J270" s="505"/>
      <c r="K270" s="502" t="s">
        <v>480</v>
      </c>
      <c r="L270" s="427">
        <f>SUM(L271:L273)</f>
        <v>0</v>
      </c>
      <c r="M270" s="427">
        <f t="shared" ref="M270:U270" si="195">SUM(M271:M273)</f>
        <v>0</v>
      </c>
      <c r="N270" s="427">
        <f t="shared" si="195"/>
        <v>0</v>
      </c>
      <c r="O270" s="427">
        <f t="shared" si="195"/>
        <v>0</v>
      </c>
      <c r="P270" s="605">
        <f t="shared" si="195"/>
        <v>0</v>
      </c>
      <c r="Q270" s="606">
        <f t="shared" si="195"/>
        <v>0</v>
      </c>
      <c r="R270" s="607">
        <f t="shared" si="195"/>
        <v>0</v>
      </c>
      <c r="S270" s="427">
        <f t="shared" si="195"/>
        <v>0</v>
      </c>
      <c r="T270" s="427">
        <f t="shared" si="195"/>
        <v>0</v>
      </c>
      <c r="U270" s="608">
        <f t="shared" si="195"/>
        <v>0</v>
      </c>
      <c r="V270" s="427" t="e">
        <f t="shared" si="191"/>
        <v>#DIV/0!</v>
      </c>
      <c r="W270" s="427"/>
      <c r="X270" s="522"/>
      <c r="Y270" s="522"/>
    </row>
    <row r="271" spans="1:27" ht="22.5" customHeight="1" thickTop="1" thickBot="1" x14ac:dyDescent="0.3">
      <c r="A271" s="425">
        <v>1</v>
      </c>
      <c r="B271" s="425">
        <v>1</v>
      </c>
      <c r="C271" s="505" t="s">
        <v>227</v>
      </c>
      <c r="D271" s="505" t="s">
        <v>220</v>
      </c>
      <c r="E271" s="505" t="s">
        <v>231</v>
      </c>
      <c r="F271" s="505" t="s">
        <v>332</v>
      </c>
      <c r="G271" s="505" t="s">
        <v>231</v>
      </c>
      <c r="H271" s="505" t="s">
        <v>216</v>
      </c>
      <c r="I271" s="505"/>
      <c r="J271" s="505"/>
      <c r="K271" s="502" t="s">
        <v>481</v>
      </c>
      <c r="L271" s="427"/>
      <c r="M271" s="427"/>
      <c r="N271" s="427"/>
      <c r="O271" s="426">
        <f>+L271+M271-N271</f>
        <v>0</v>
      </c>
      <c r="P271" s="605"/>
      <c r="Q271" s="606"/>
      <c r="R271" s="607"/>
      <c r="S271" s="427"/>
      <c r="T271" s="427"/>
      <c r="U271" s="608"/>
      <c r="V271" s="737">
        <v>0</v>
      </c>
      <c r="W271" s="427"/>
      <c r="X271" s="522"/>
      <c r="Y271" s="522"/>
      <c r="Z271" s="738">
        <f t="shared" ref="Z271:Z273" si="196">SUBTOTAL(9,P271:S271)</f>
        <v>0</v>
      </c>
      <c r="AA271" s="739">
        <f t="shared" ref="AA271:AA273" si="197">+Z271-O271</f>
        <v>0</v>
      </c>
    </row>
    <row r="272" spans="1:27" ht="22.5" customHeight="1" thickTop="1" thickBot="1" x14ac:dyDescent="0.3">
      <c r="A272" s="425">
        <v>1</v>
      </c>
      <c r="B272" s="425">
        <v>1</v>
      </c>
      <c r="C272" s="505" t="s">
        <v>227</v>
      </c>
      <c r="D272" s="505" t="s">
        <v>220</v>
      </c>
      <c r="E272" s="505" t="s">
        <v>231</v>
      </c>
      <c r="F272" s="505" t="s">
        <v>332</v>
      </c>
      <c r="G272" s="505" t="s">
        <v>231</v>
      </c>
      <c r="H272" s="505" t="s">
        <v>227</v>
      </c>
      <c r="I272" s="505"/>
      <c r="J272" s="505"/>
      <c r="K272" s="502" t="s">
        <v>482</v>
      </c>
      <c r="L272" s="427"/>
      <c r="M272" s="427"/>
      <c r="N272" s="427"/>
      <c r="O272" s="426">
        <f>+L272+M272-N272</f>
        <v>0</v>
      </c>
      <c r="P272" s="605"/>
      <c r="Q272" s="606"/>
      <c r="R272" s="607"/>
      <c r="S272" s="427"/>
      <c r="T272" s="427"/>
      <c r="U272" s="608"/>
      <c r="V272" s="737">
        <v>0</v>
      </c>
      <c r="W272" s="427"/>
      <c r="X272" s="522"/>
      <c r="Y272" s="522"/>
      <c r="Z272" s="738">
        <f t="shared" si="196"/>
        <v>0</v>
      </c>
      <c r="AA272" s="739">
        <f t="shared" si="197"/>
        <v>0</v>
      </c>
    </row>
    <row r="273" spans="1:27" ht="22.5" customHeight="1" thickTop="1" thickBot="1" x14ac:dyDescent="0.3">
      <c r="A273" s="425">
        <v>1</v>
      </c>
      <c r="B273" s="425">
        <v>1</v>
      </c>
      <c r="C273" s="505" t="s">
        <v>227</v>
      </c>
      <c r="D273" s="505" t="s">
        <v>220</v>
      </c>
      <c r="E273" s="505" t="s">
        <v>231</v>
      </c>
      <c r="F273" s="505" t="s">
        <v>332</v>
      </c>
      <c r="G273" s="505" t="s">
        <v>231</v>
      </c>
      <c r="H273" s="505" t="s">
        <v>229</v>
      </c>
      <c r="I273" s="505"/>
      <c r="J273" s="505"/>
      <c r="K273" s="502" t="s">
        <v>483</v>
      </c>
      <c r="L273" s="427"/>
      <c r="M273" s="427"/>
      <c r="N273" s="427"/>
      <c r="O273" s="426">
        <f>+L273+M273-N273</f>
        <v>0</v>
      </c>
      <c r="P273" s="605"/>
      <c r="Q273" s="606"/>
      <c r="R273" s="607"/>
      <c r="S273" s="427"/>
      <c r="T273" s="427"/>
      <c r="U273" s="608"/>
      <c r="V273" s="737">
        <v>0</v>
      </c>
      <c r="W273" s="427"/>
      <c r="X273" s="522"/>
      <c r="Y273" s="522"/>
      <c r="Z273" s="738">
        <f t="shared" si="196"/>
        <v>0</v>
      </c>
      <c r="AA273" s="739">
        <f t="shared" si="197"/>
        <v>0</v>
      </c>
    </row>
    <row r="274" spans="1:27" ht="22.5" customHeight="1" thickTop="1" thickBot="1" x14ac:dyDescent="0.3">
      <c r="A274" s="425">
        <v>1</v>
      </c>
      <c r="B274" s="425">
        <v>1</v>
      </c>
      <c r="C274" s="505" t="s">
        <v>227</v>
      </c>
      <c r="D274" s="505" t="s">
        <v>220</v>
      </c>
      <c r="E274" s="505" t="s">
        <v>231</v>
      </c>
      <c r="F274" s="505" t="s">
        <v>332</v>
      </c>
      <c r="G274" s="505" t="s">
        <v>305</v>
      </c>
      <c r="H274" s="505"/>
      <c r="I274" s="505"/>
      <c r="J274" s="505"/>
      <c r="K274" s="502" t="s">
        <v>484</v>
      </c>
      <c r="L274" s="427">
        <f>SUM(L275:L277)</f>
        <v>0</v>
      </c>
      <c r="M274" s="427">
        <f t="shared" ref="M274:U274" si="198">SUM(M275:M277)</f>
        <v>0</v>
      </c>
      <c r="N274" s="427">
        <f t="shared" si="198"/>
        <v>0</v>
      </c>
      <c r="O274" s="427">
        <f t="shared" si="198"/>
        <v>0</v>
      </c>
      <c r="P274" s="605">
        <f t="shared" si="198"/>
        <v>0</v>
      </c>
      <c r="Q274" s="606">
        <f t="shared" si="198"/>
        <v>0</v>
      </c>
      <c r="R274" s="607">
        <f t="shared" si="198"/>
        <v>0</v>
      </c>
      <c r="S274" s="427">
        <f t="shared" si="198"/>
        <v>0</v>
      </c>
      <c r="T274" s="427">
        <f t="shared" si="198"/>
        <v>0</v>
      </c>
      <c r="U274" s="608">
        <f t="shared" si="198"/>
        <v>0</v>
      </c>
      <c r="V274" s="427" t="e">
        <f t="shared" si="191"/>
        <v>#DIV/0!</v>
      </c>
      <c r="W274" s="427"/>
      <c r="X274" s="522"/>
      <c r="Y274" s="522"/>
    </row>
    <row r="275" spans="1:27" ht="22.5" customHeight="1" thickTop="1" thickBot="1" x14ac:dyDescent="0.3">
      <c r="A275" s="425">
        <v>1</v>
      </c>
      <c r="B275" s="425">
        <v>1</v>
      </c>
      <c r="C275" s="505" t="s">
        <v>227</v>
      </c>
      <c r="D275" s="505" t="s">
        <v>220</v>
      </c>
      <c r="E275" s="505" t="s">
        <v>231</v>
      </c>
      <c r="F275" s="505" t="s">
        <v>332</v>
      </c>
      <c r="G275" s="505" t="s">
        <v>305</v>
      </c>
      <c r="H275" s="505" t="s">
        <v>216</v>
      </c>
      <c r="I275" s="505"/>
      <c r="J275" s="505"/>
      <c r="K275" s="502" t="s">
        <v>485</v>
      </c>
      <c r="L275" s="427"/>
      <c r="M275" s="427"/>
      <c r="N275" s="427"/>
      <c r="O275" s="426">
        <f>+L275+M275-N275</f>
        <v>0</v>
      </c>
      <c r="P275" s="605"/>
      <c r="Q275" s="606"/>
      <c r="R275" s="607"/>
      <c r="S275" s="427"/>
      <c r="T275" s="427"/>
      <c r="U275" s="608"/>
      <c r="V275" s="737">
        <v>0</v>
      </c>
      <c r="W275" s="427"/>
      <c r="X275" s="522"/>
      <c r="Y275" s="522"/>
      <c r="Z275" s="738">
        <f t="shared" ref="Z275:Z277" si="199">SUBTOTAL(9,P275:S275)</f>
        <v>0</v>
      </c>
      <c r="AA275" s="739">
        <f t="shared" ref="AA275:AA277" si="200">+Z275-O275</f>
        <v>0</v>
      </c>
    </row>
    <row r="276" spans="1:27" ht="22.5" customHeight="1" thickTop="1" thickBot="1" x14ac:dyDescent="0.3">
      <c r="A276" s="425">
        <v>1</v>
      </c>
      <c r="B276" s="425">
        <v>1</v>
      </c>
      <c r="C276" s="505" t="s">
        <v>227</v>
      </c>
      <c r="D276" s="505" t="s">
        <v>220</v>
      </c>
      <c r="E276" s="505" t="s">
        <v>231</v>
      </c>
      <c r="F276" s="505" t="s">
        <v>332</v>
      </c>
      <c r="G276" s="505" t="s">
        <v>305</v>
      </c>
      <c r="H276" s="505" t="s">
        <v>227</v>
      </c>
      <c r="I276" s="505"/>
      <c r="J276" s="505"/>
      <c r="K276" s="502" t="s">
        <v>486</v>
      </c>
      <c r="L276" s="427"/>
      <c r="M276" s="427"/>
      <c r="N276" s="427"/>
      <c r="O276" s="426">
        <f>+L276+M276-N276</f>
        <v>0</v>
      </c>
      <c r="P276" s="605"/>
      <c r="Q276" s="606"/>
      <c r="R276" s="607"/>
      <c r="S276" s="427"/>
      <c r="T276" s="427"/>
      <c r="U276" s="608"/>
      <c r="V276" s="737">
        <v>0</v>
      </c>
      <c r="W276" s="427"/>
      <c r="X276" s="522"/>
      <c r="Y276" s="522"/>
      <c r="Z276" s="738">
        <f t="shared" si="199"/>
        <v>0</v>
      </c>
      <c r="AA276" s="739">
        <f t="shared" si="200"/>
        <v>0</v>
      </c>
    </row>
    <row r="277" spans="1:27" ht="22.5" customHeight="1" thickTop="1" thickBot="1" x14ac:dyDescent="0.3">
      <c r="A277" s="425">
        <v>1</v>
      </c>
      <c r="B277" s="425">
        <v>1</v>
      </c>
      <c r="C277" s="505" t="s">
        <v>227</v>
      </c>
      <c r="D277" s="505" t="s">
        <v>220</v>
      </c>
      <c r="E277" s="505" t="s">
        <v>231</v>
      </c>
      <c r="F277" s="505" t="s">
        <v>332</v>
      </c>
      <c r="G277" s="505" t="s">
        <v>305</v>
      </c>
      <c r="H277" s="505" t="s">
        <v>229</v>
      </c>
      <c r="I277" s="505"/>
      <c r="J277" s="505"/>
      <c r="K277" s="502" t="s">
        <v>487</v>
      </c>
      <c r="L277" s="427"/>
      <c r="M277" s="427"/>
      <c r="N277" s="427"/>
      <c r="O277" s="426">
        <f>+L277+M277-N277</f>
        <v>0</v>
      </c>
      <c r="P277" s="605"/>
      <c r="Q277" s="606"/>
      <c r="R277" s="607"/>
      <c r="S277" s="427"/>
      <c r="T277" s="427"/>
      <c r="U277" s="608"/>
      <c r="V277" s="737">
        <v>0</v>
      </c>
      <c r="W277" s="427"/>
      <c r="X277" s="522"/>
      <c r="Y277" s="522"/>
      <c r="Z277" s="738">
        <f t="shared" si="199"/>
        <v>0</v>
      </c>
      <c r="AA277" s="739">
        <f t="shared" si="200"/>
        <v>0</v>
      </c>
    </row>
    <row r="278" spans="1:27" ht="22.5" customHeight="1" thickTop="1" thickBot="1" x14ac:dyDescent="0.3">
      <c r="A278" s="425">
        <v>1</v>
      </c>
      <c r="B278" s="425">
        <v>1</v>
      </c>
      <c r="C278" s="505" t="s">
        <v>227</v>
      </c>
      <c r="D278" s="505" t="s">
        <v>220</v>
      </c>
      <c r="E278" s="505" t="s">
        <v>231</v>
      </c>
      <c r="F278" s="505" t="s">
        <v>391</v>
      </c>
      <c r="G278" s="505"/>
      <c r="H278" s="505"/>
      <c r="I278" s="505"/>
      <c r="J278" s="505"/>
      <c r="K278" s="502" t="s">
        <v>488</v>
      </c>
      <c r="L278" s="427">
        <f>+L279+L283</f>
        <v>0</v>
      </c>
      <c r="M278" s="427">
        <f t="shared" ref="M278:U278" si="201">+M279+M283</f>
        <v>0</v>
      </c>
      <c r="N278" s="427">
        <f t="shared" si="201"/>
        <v>0</v>
      </c>
      <c r="O278" s="427">
        <f t="shared" si="201"/>
        <v>0</v>
      </c>
      <c r="P278" s="605">
        <f t="shared" si="201"/>
        <v>0</v>
      </c>
      <c r="Q278" s="606">
        <f t="shared" si="201"/>
        <v>0</v>
      </c>
      <c r="R278" s="607">
        <f t="shared" si="201"/>
        <v>0</v>
      </c>
      <c r="S278" s="427">
        <f t="shared" si="201"/>
        <v>0</v>
      </c>
      <c r="T278" s="427">
        <f t="shared" si="201"/>
        <v>0</v>
      </c>
      <c r="U278" s="608">
        <f t="shared" si="201"/>
        <v>0</v>
      </c>
      <c r="V278" s="427" t="e">
        <f t="shared" si="191"/>
        <v>#DIV/0!</v>
      </c>
      <c r="W278" s="427"/>
      <c r="X278" s="522"/>
      <c r="Y278" s="522"/>
    </row>
    <row r="279" spans="1:27" ht="22.5" customHeight="1" thickTop="1" thickBot="1" x14ac:dyDescent="0.3">
      <c r="A279" s="425">
        <v>1</v>
      </c>
      <c r="B279" s="425">
        <v>1</v>
      </c>
      <c r="C279" s="505" t="s">
        <v>227</v>
      </c>
      <c r="D279" s="505" t="s">
        <v>220</v>
      </c>
      <c r="E279" s="505" t="s">
        <v>231</v>
      </c>
      <c r="F279" s="505" t="s">
        <v>391</v>
      </c>
      <c r="G279" s="505" t="s">
        <v>220</v>
      </c>
      <c r="H279" s="505"/>
      <c r="I279" s="505"/>
      <c r="J279" s="505"/>
      <c r="K279" s="502" t="s">
        <v>489</v>
      </c>
      <c r="L279" s="427">
        <f>SUM(L280:L282)</f>
        <v>0</v>
      </c>
      <c r="M279" s="427">
        <f t="shared" ref="M279:U279" si="202">SUM(M280:M282)</f>
        <v>0</v>
      </c>
      <c r="N279" s="427">
        <f t="shared" si="202"/>
        <v>0</v>
      </c>
      <c r="O279" s="427">
        <f t="shared" si="202"/>
        <v>0</v>
      </c>
      <c r="P279" s="605">
        <f t="shared" si="202"/>
        <v>0</v>
      </c>
      <c r="Q279" s="606">
        <f t="shared" si="202"/>
        <v>0</v>
      </c>
      <c r="R279" s="607">
        <f t="shared" si="202"/>
        <v>0</v>
      </c>
      <c r="S279" s="427">
        <f t="shared" si="202"/>
        <v>0</v>
      </c>
      <c r="T279" s="427">
        <f t="shared" si="202"/>
        <v>0</v>
      </c>
      <c r="U279" s="608">
        <f t="shared" si="202"/>
        <v>0</v>
      </c>
      <c r="V279" s="427" t="e">
        <f t="shared" si="191"/>
        <v>#DIV/0!</v>
      </c>
      <c r="W279" s="427"/>
      <c r="X279" s="522"/>
      <c r="Y279" s="522"/>
    </row>
    <row r="280" spans="1:27" ht="22.5" customHeight="1" thickTop="1" thickBot="1" x14ac:dyDescent="0.3">
      <c r="A280" s="425">
        <v>1</v>
      </c>
      <c r="B280" s="425">
        <v>1</v>
      </c>
      <c r="C280" s="505" t="s">
        <v>227</v>
      </c>
      <c r="D280" s="505" t="s">
        <v>220</v>
      </c>
      <c r="E280" s="505" t="s">
        <v>231</v>
      </c>
      <c r="F280" s="505" t="s">
        <v>391</v>
      </c>
      <c r="G280" s="505" t="s">
        <v>220</v>
      </c>
      <c r="H280" s="505" t="s">
        <v>216</v>
      </c>
      <c r="I280" s="505"/>
      <c r="J280" s="505"/>
      <c r="K280" s="502" t="s">
        <v>490</v>
      </c>
      <c r="L280" s="427"/>
      <c r="M280" s="427"/>
      <c r="N280" s="427"/>
      <c r="O280" s="426">
        <f>+L280+M280-N280</f>
        <v>0</v>
      </c>
      <c r="P280" s="605"/>
      <c r="Q280" s="606"/>
      <c r="R280" s="607"/>
      <c r="S280" s="427"/>
      <c r="T280" s="427"/>
      <c r="U280" s="608"/>
      <c r="V280" s="737">
        <v>0</v>
      </c>
      <c r="W280" s="427"/>
      <c r="X280" s="522"/>
      <c r="Y280" s="522"/>
      <c r="Z280" s="738">
        <f t="shared" ref="Z280:Z282" si="203">SUBTOTAL(9,P280:S280)</f>
        <v>0</v>
      </c>
      <c r="AA280" s="739">
        <f t="shared" ref="AA280:AA282" si="204">+Z280-O280</f>
        <v>0</v>
      </c>
    </row>
    <row r="281" spans="1:27" ht="22.5" customHeight="1" thickTop="1" thickBot="1" x14ac:dyDescent="0.3">
      <c r="A281" s="425">
        <v>1</v>
      </c>
      <c r="B281" s="425">
        <v>1</v>
      </c>
      <c r="C281" s="505" t="s">
        <v>227</v>
      </c>
      <c r="D281" s="505" t="s">
        <v>220</v>
      </c>
      <c r="E281" s="505" t="s">
        <v>231</v>
      </c>
      <c r="F281" s="505" t="s">
        <v>391</v>
      </c>
      <c r="G281" s="505" t="s">
        <v>220</v>
      </c>
      <c r="H281" s="505" t="s">
        <v>227</v>
      </c>
      <c r="I281" s="505"/>
      <c r="J281" s="505"/>
      <c r="K281" s="502" t="s">
        <v>491</v>
      </c>
      <c r="L281" s="427"/>
      <c r="M281" s="427"/>
      <c r="N281" s="427"/>
      <c r="O281" s="426">
        <f>+L281+M281-N281</f>
        <v>0</v>
      </c>
      <c r="P281" s="605"/>
      <c r="Q281" s="606"/>
      <c r="R281" s="607"/>
      <c r="S281" s="427"/>
      <c r="T281" s="427"/>
      <c r="U281" s="608"/>
      <c r="V281" s="737">
        <v>0</v>
      </c>
      <c r="W281" s="427"/>
      <c r="X281" s="522"/>
      <c r="Y281" s="522"/>
      <c r="Z281" s="738">
        <f t="shared" si="203"/>
        <v>0</v>
      </c>
      <c r="AA281" s="739">
        <f t="shared" si="204"/>
        <v>0</v>
      </c>
    </row>
    <row r="282" spans="1:27" ht="22.5" customHeight="1" thickTop="1" thickBot="1" x14ac:dyDescent="0.3">
      <c r="A282" s="425">
        <v>1</v>
      </c>
      <c r="B282" s="425">
        <v>1</v>
      </c>
      <c r="C282" s="505" t="s">
        <v>227</v>
      </c>
      <c r="D282" s="505" t="s">
        <v>220</v>
      </c>
      <c r="E282" s="505" t="s">
        <v>231</v>
      </c>
      <c r="F282" s="505" t="s">
        <v>391</v>
      </c>
      <c r="G282" s="505" t="s">
        <v>220</v>
      </c>
      <c r="H282" s="505" t="s">
        <v>229</v>
      </c>
      <c r="I282" s="505"/>
      <c r="J282" s="505"/>
      <c r="K282" s="502" t="s">
        <v>492</v>
      </c>
      <c r="L282" s="427"/>
      <c r="M282" s="427"/>
      <c r="N282" s="427"/>
      <c r="O282" s="426">
        <f>+L282+M282-N282</f>
        <v>0</v>
      </c>
      <c r="P282" s="605"/>
      <c r="Q282" s="606"/>
      <c r="R282" s="607"/>
      <c r="S282" s="427"/>
      <c r="T282" s="427"/>
      <c r="U282" s="608"/>
      <c r="V282" s="737">
        <v>0</v>
      </c>
      <c r="W282" s="427"/>
      <c r="X282" s="522"/>
      <c r="Y282" s="522"/>
      <c r="Z282" s="738">
        <f t="shared" si="203"/>
        <v>0</v>
      </c>
      <c r="AA282" s="739">
        <f t="shared" si="204"/>
        <v>0</v>
      </c>
    </row>
    <row r="283" spans="1:27" ht="22.5" customHeight="1" thickTop="1" thickBot="1" x14ac:dyDescent="0.3">
      <c r="A283" s="425">
        <v>1</v>
      </c>
      <c r="B283" s="425">
        <v>1</v>
      </c>
      <c r="C283" s="505" t="s">
        <v>227</v>
      </c>
      <c r="D283" s="505" t="s">
        <v>220</v>
      </c>
      <c r="E283" s="505" t="s">
        <v>231</v>
      </c>
      <c r="F283" s="505" t="s">
        <v>391</v>
      </c>
      <c r="G283" s="505" t="s">
        <v>231</v>
      </c>
      <c r="H283" s="505"/>
      <c r="I283" s="505"/>
      <c r="J283" s="505"/>
      <c r="K283" s="502" t="s">
        <v>493</v>
      </c>
      <c r="L283" s="427">
        <f>SUM(L284:L286)</f>
        <v>0</v>
      </c>
      <c r="M283" s="427">
        <f t="shared" ref="M283:U283" si="205">SUM(M284:M286)</f>
        <v>0</v>
      </c>
      <c r="N283" s="427">
        <f t="shared" si="205"/>
        <v>0</v>
      </c>
      <c r="O283" s="427">
        <f t="shared" si="205"/>
        <v>0</v>
      </c>
      <c r="P283" s="605">
        <f t="shared" si="205"/>
        <v>0</v>
      </c>
      <c r="Q283" s="606">
        <f t="shared" si="205"/>
        <v>0</v>
      </c>
      <c r="R283" s="607">
        <f t="shared" si="205"/>
        <v>0</v>
      </c>
      <c r="S283" s="427">
        <f t="shared" si="205"/>
        <v>0</v>
      </c>
      <c r="T283" s="427">
        <f t="shared" si="205"/>
        <v>0</v>
      </c>
      <c r="U283" s="608">
        <f t="shared" si="205"/>
        <v>0</v>
      </c>
      <c r="V283" s="427" t="e">
        <f t="shared" si="191"/>
        <v>#DIV/0!</v>
      </c>
      <c r="W283" s="427"/>
      <c r="X283" s="522"/>
      <c r="Y283" s="522"/>
    </row>
    <row r="284" spans="1:27" ht="22.5" customHeight="1" thickTop="1" thickBot="1" x14ac:dyDescent="0.3">
      <c r="A284" s="425">
        <v>1</v>
      </c>
      <c r="B284" s="425">
        <v>1</v>
      </c>
      <c r="C284" s="505" t="s">
        <v>227</v>
      </c>
      <c r="D284" s="505" t="s">
        <v>220</v>
      </c>
      <c r="E284" s="505" t="s">
        <v>231</v>
      </c>
      <c r="F284" s="505" t="s">
        <v>391</v>
      </c>
      <c r="G284" s="505" t="s">
        <v>231</v>
      </c>
      <c r="H284" s="505" t="s">
        <v>216</v>
      </c>
      <c r="I284" s="505"/>
      <c r="J284" s="505"/>
      <c r="K284" s="502" t="s">
        <v>494</v>
      </c>
      <c r="L284" s="427"/>
      <c r="M284" s="427"/>
      <c r="N284" s="427"/>
      <c r="O284" s="426">
        <f>+L284+M284-N284</f>
        <v>0</v>
      </c>
      <c r="P284" s="605"/>
      <c r="Q284" s="606"/>
      <c r="R284" s="607"/>
      <c r="S284" s="427"/>
      <c r="T284" s="427"/>
      <c r="U284" s="608"/>
      <c r="V284" s="737">
        <v>0</v>
      </c>
      <c r="W284" s="427"/>
      <c r="X284" s="522"/>
      <c r="Y284" s="522"/>
      <c r="Z284" s="738">
        <f t="shared" ref="Z284:Z286" si="206">SUBTOTAL(9,P284:S284)</f>
        <v>0</v>
      </c>
      <c r="AA284" s="739">
        <f t="shared" ref="AA284:AA286" si="207">+Z284-O284</f>
        <v>0</v>
      </c>
    </row>
    <row r="285" spans="1:27" ht="22.5" customHeight="1" thickTop="1" thickBot="1" x14ac:dyDescent="0.3">
      <c r="A285" s="425">
        <v>1</v>
      </c>
      <c r="B285" s="425">
        <v>1</v>
      </c>
      <c r="C285" s="505" t="s">
        <v>227</v>
      </c>
      <c r="D285" s="505" t="s">
        <v>220</v>
      </c>
      <c r="E285" s="505" t="s">
        <v>231</v>
      </c>
      <c r="F285" s="505" t="s">
        <v>391</v>
      </c>
      <c r="G285" s="505" t="s">
        <v>231</v>
      </c>
      <c r="H285" s="505" t="s">
        <v>227</v>
      </c>
      <c r="I285" s="505"/>
      <c r="J285" s="505"/>
      <c r="K285" s="502" t="s">
        <v>495</v>
      </c>
      <c r="L285" s="427"/>
      <c r="M285" s="427"/>
      <c r="N285" s="427"/>
      <c r="O285" s="426">
        <f>+L285+M285-N285</f>
        <v>0</v>
      </c>
      <c r="P285" s="605"/>
      <c r="Q285" s="606"/>
      <c r="R285" s="607"/>
      <c r="S285" s="427"/>
      <c r="T285" s="427"/>
      <c r="U285" s="608"/>
      <c r="V285" s="737">
        <v>0</v>
      </c>
      <c r="W285" s="427"/>
      <c r="X285" s="522"/>
      <c r="Y285" s="522"/>
      <c r="Z285" s="738">
        <f t="shared" si="206"/>
        <v>0</v>
      </c>
      <c r="AA285" s="739">
        <f t="shared" si="207"/>
        <v>0</v>
      </c>
    </row>
    <row r="286" spans="1:27" ht="22.5" customHeight="1" thickTop="1" thickBot="1" x14ac:dyDescent="0.3">
      <c r="A286" s="425">
        <v>1</v>
      </c>
      <c r="B286" s="425">
        <v>1</v>
      </c>
      <c r="C286" s="505" t="s">
        <v>227</v>
      </c>
      <c r="D286" s="505" t="s">
        <v>220</v>
      </c>
      <c r="E286" s="505" t="s">
        <v>231</v>
      </c>
      <c r="F286" s="505" t="s">
        <v>391</v>
      </c>
      <c r="G286" s="505" t="s">
        <v>231</v>
      </c>
      <c r="H286" s="505" t="s">
        <v>229</v>
      </c>
      <c r="I286" s="505"/>
      <c r="J286" s="505"/>
      <c r="K286" s="502" t="s">
        <v>496</v>
      </c>
      <c r="L286" s="427"/>
      <c r="M286" s="427"/>
      <c r="N286" s="427"/>
      <c r="O286" s="426">
        <f>+L286+M286-N286</f>
        <v>0</v>
      </c>
      <c r="P286" s="605"/>
      <c r="Q286" s="606"/>
      <c r="R286" s="607"/>
      <c r="S286" s="427"/>
      <c r="T286" s="427"/>
      <c r="U286" s="608"/>
      <c r="V286" s="737">
        <v>0</v>
      </c>
      <c r="W286" s="427"/>
      <c r="X286" s="522"/>
      <c r="Y286" s="522"/>
      <c r="Z286" s="738">
        <f t="shared" si="206"/>
        <v>0</v>
      </c>
      <c r="AA286" s="739">
        <f t="shared" si="207"/>
        <v>0</v>
      </c>
    </row>
    <row r="287" spans="1:27" ht="22.5" customHeight="1" thickTop="1" thickBot="1" x14ac:dyDescent="0.3">
      <c r="A287" s="425">
        <v>1</v>
      </c>
      <c r="B287" s="505" t="s">
        <v>216</v>
      </c>
      <c r="C287" s="505" t="s">
        <v>227</v>
      </c>
      <c r="D287" s="505" t="s">
        <v>305</v>
      </c>
      <c r="E287" s="505"/>
      <c r="F287" s="505"/>
      <c r="G287" s="505"/>
      <c r="H287" s="505"/>
      <c r="I287" s="505"/>
      <c r="J287" s="505"/>
      <c r="K287" s="502" t="s">
        <v>497</v>
      </c>
      <c r="L287" s="427">
        <f>+L288+L292+L296+L300+L304</f>
        <v>0</v>
      </c>
      <c r="M287" s="427">
        <f t="shared" ref="M287:U287" si="208">+M288+M292+M296+M300+M304</f>
        <v>0</v>
      </c>
      <c r="N287" s="427">
        <f t="shared" si="208"/>
        <v>0</v>
      </c>
      <c r="O287" s="427">
        <f t="shared" si="208"/>
        <v>0</v>
      </c>
      <c r="P287" s="605">
        <f t="shared" si="208"/>
        <v>0</v>
      </c>
      <c r="Q287" s="606">
        <f t="shared" si="208"/>
        <v>0</v>
      </c>
      <c r="R287" s="607">
        <f t="shared" si="208"/>
        <v>0</v>
      </c>
      <c r="S287" s="427">
        <f t="shared" si="208"/>
        <v>0</v>
      </c>
      <c r="T287" s="427">
        <f t="shared" si="208"/>
        <v>0</v>
      </c>
      <c r="U287" s="608">
        <f t="shared" si="208"/>
        <v>0</v>
      </c>
      <c r="V287" s="427" t="e">
        <f t="shared" si="191"/>
        <v>#DIV/0!</v>
      </c>
      <c r="W287" s="427"/>
      <c r="X287" s="522"/>
      <c r="Y287" s="522"/>
    </row>
    <row r="288" spans="1:27" ht="22.5" customHeight="1" thickTop="1" thickBot="1" x14ac:dyDescent="0.3">
      <c r="A288" s="425">
        <v>1</v>
      </c>
      <c r="B288" s="505" t="s">
        <v>216</v>
      </c>
      <c r="C288" s="505" t="s">
        <v>227</v>
      </c>
      <c r="D288" s="505" t="s">
        <v>305</v>
      </c>
      <c r="E288" s="505" t="s">
        <v>231</v>
      </c>
      <c r="F288" s="505"/>
      <c r="G288" s="505"/>
      <c r="H288" s="505"/>
      <c r="I288" s="505"/>
      <c r="J288" s="505"/>
      <c r="K288" s="502" t="s">
        <v>498</v>
      </c>
      <c r="L288" s="427">
        <f>SUM(L289:L291)</f>
        <v>0</v>
      </c>
      <c r="M288" s="427">
        <f t="shared" ref="M288:U288" si="209">SUM(M289:M291)</f>
        <v>0</v>
      </c>
      <c r="N288" s="427">
        <f t="shared" si="209"/>
        <v>0</v>
      </c>
      <c r="O288" s="427">
        <f t="shared" si="209"/>
        <v>0</v>
      </c>
      <c r="P288" s="605">
        <f t="shared" si="209"/>
        <v>0</v>
      </c>
      <c r="Q288" s="606">
        <f t="shared" si="209"/>
        <v>0</v>
      </c>
      <c r="R288" s="607">
        <f t="shared" si="209"/>
        <v>0</v>
      </c>
      <c r="S288" s="427">
        <f t="shared" si="209"/>
        <v>0</v>
      </c>
      <c r="T288" s="427">
        <f t="shared" si="209"/>
        <v>0</v>
      </c>
      <c r="U288" s="608">
        <f t="shared" si="209"/>
        <v>0</v>
      </c>
      <c r="V288" s="427" t="e">
        <f t="shared" si="191"/>
        <v>#DIV/0!</v>
      </c>
      <c r="W288" s="427"/>
      <c r="X288" s="522"/>
      <c r="Y288" s="522"/>
    </row>
    <row r="289" spans="1:27" ht="22.5" customHeight="1" thickTop="1" thickBot="1" x14ac:dyDescent="0.3">
      <c r="A289" s="425">
        <v>1</v>
      </c>
      <c r="B289" s="505" t="s">
        <v>216</v>
      </c>
      <c r="C289" s="505" t="s">
        <v>227</v>
      </c>
      <c r="D289" s="505" t="s">
        <v>305</v>
      </c>
      <c r="E289" s="505" t="s">
        <v>231</v>
      </c>
      <c r="F289" s="505" t="s">
        <v>216</v>
      </c>
      <c r="G289" s="505"/>
      <c r="H289" s="505"/>
      <c r="I289" s="505"/>
      <c r="J289" s="505"/>
      <c r="K289" s="502" t="s">
        <v>499</v>
      </c>
      <c r="L289" s="427"/>
      <c r="M289" s="427"/>
      <c r="N289" s="427"/>
      <c r="O289" s="426">
        <f>+L289+M289-N289</f>
        <v>0</v>
      </c>
      <c r="P289" s="605"/>
      <c r="Q289" s="606"/>
      <c r="R289" s="607"/>
      <c r="S289" s="427"/>
      <c r="T289" s="427"/>
      <c r="U289" s="608"/>
      <c r="V289" s="737">
        <v>0</v>
      </c>
      <c r="W289" s="427"/>
      <c r="X289" s="522"/>
      <c r="Y289" s="522"/>
      <c r="Z289" s="738">
        <f t="shared" ref="Z289:Z291" si="210">SUBTOTAL(9,P289:S289)</f>
        <v>0</v>
      </c>
      <c r="AA289" s="739">
        <f t="shared" ref="AA289:AA291" si="211">+Z289-O289</f>
        <v>0</v>
      </c>
    </row>
    <row r="290" spans="1:27" ht="22.5" customHeight="1" thickTop="1" thickBot="1" x14ac:dyDescent="0.3">
      <c r="A290" s="425">
        <v>1</v>
      </c>
      <c r="B290" s="505" t="s">
        <v>216</v>
      </c>
      <c r="C290" s="505" t="s">
        <v>227</v>
      </c>
      <c r="D290" s="505" t="s">
        <v>305</v>
      </c>
      <c r="E290" s="505" t="s">
        <v>231</v>
      </c>
      <c r="F290" s="505" t="s">
        <v>227</v>
      </c>
      <c r="G290" s="505"/>
      <c r="H290" s="505"/>
      <c r="I290" s="505"/>
      <c r="J290" s="505"/>
      <c r="K290" s="502" t="s">
        <v>500</v>
      </c>
      <c r="L290" s="427"/>
      <c r="M290" s="427"/>
      <c r="N290" s="427"/>
      <c r="O290" s="426">
        <f>+L290+M290-N290</f>
        <v>0</v>
      </c>
      <c r="P290" s="605"/>
      <c r="Q290" s="606"/>
      <c r="R290" s="607"/>
      <c r="S290" s="427"/>
      <c r="T290" s="427"/>
      <c r="U290" s="608"/>
      <c r="V290" s="737">
        <v>0</v>
      </c>
      <c r="W290" s="427"/>
      <c r="X290" s="522"/>
      <c r="Y290" s="522"/>
      <c r="Z290" s="738">
        <f t="shared" si="210"/>
        <v>0</v>
      </c>
      <c r="AA290" s="739">
        <f t="shared" si="211"/>
        <v>0</v>
      </c>
    </row>
    <row r="291" spans="1:27" ht="22.5" customHeight="1" thickTop="1" thickBot="1" x14ac:dyDescent="0.3">
      <c r="A291" s="425">
        <v>1</v>
      </c>
      <c r="B291" s="505" t="s">
        <v>216</v>
      </c>
      <c r="C291" s="505" t="s">
        <v>227</v>
      </c>
      <c r="D291" s="505" t="s">
        <v>305</v>
      </c>
      <c r="E291" s="505" t="s">
        <v>231</v>
      </c>
      <c r="F291" s="505" t="s">
        <v>229</v>
      </c>
      <c r="G291" s="505"/>
      <c r="H291" s="505"/>
      <c r="I291" s="505"/>
      <c r="J291" s="505"/>
      <c r="K291" s="502" t="s">
        <v>501</v>
      </c>
      <c r="L291" s="427"/>
      <c r="M291" s="427"/>
      <c r="N291" s="427"/>
      <c r="O291" s="426">
        <f>+L291+M291-N291</f>
        <v>0</v>
      </c>
      <c r="P291" s="605"/>
      <c r="Q291" s="606"/>
      <c r="R291" s="607"/>
      <c r="S291" s="427"/>
      <c r="T291" s="427"/>
      <c r="U291" s="608"/>
      <c r="V291" s="737">
        <v>0</v>
      </c>
      <c r="W291" s="427"/>
      <c r="X291" s="522"/>
      <c r="Y291" s="522"/>
      <c r="Z291" s="738">
        <f t="shared" si="210"/>
        <v>0</v>
      </c>
      <c r="AA291" s="739">
        <f t="shared" si="211"/>
        <v>0</v>
      </c>
    </row>
    <row r="292" spans="1:27" ht="22.5" customHeight="1" thickTop="1" thickBot="1" x14ac:dyDescent="0.3">
      <c r="A292" s="425">
        <v>1</v>
      </c>
      <c r="B292" s="505" t="s">
        <v>216</v>
      </c>
      <c r="C292" s="505" t="s">
        <v>227</v>
      </c>
      <c r="D292" s="505" t="s">
        <v>305</v>
      </c>
      <c r="E292" s="505" t="s">
        <v>305</v>
      </c>
      <c r="F292" s="505"/>
      <c r="G292" s="505"/>
      <c r="H292" s="505"/>
      <c r="I292" s="505"/>
      <c r="J292" s="505"/>
      <c r="K292" s="502" t="s">
        <v>502</v>
      </c>
      <c r="L292" s="427">
        <f>SUM(L293:L295)</f>
        <v>0</v>
      </c>
      <c r="M292" s="427">
        <f t="shared" ref="M292:U292" si="212">SUM(M293:M295)</f>
        <v>0</v>
      </c>
      <c r="N292" s="427">
        <f t="shared" si="212"/>
        <v>0</v>
      </c>
      <c r="O292" s="427">
        <f t="shared" si="212"/>
        <v>0</v>
      </c>
      <c r="P292" s="605">
        <f t="shared" si="212"/>
        <v>0</v>
      </c>
      <c r="Q292" s="606">
        <f t="shared" si="212"/>
        <v>0</v>
      </c>
      <c r="R292" s="607">
        <f t="shared" si="212"/>
        <v>0</v>
      </c>
      <c r="S292" s="427">
        <f t="shared" si="212"/>
        <v>0</v>
      </c>
      <c r="T292" s="427">
        <f t="shared" si="212"/>
        <v>0</v>
      </c>
      <c r="U292" s="608">
        <f t="shared" si="212"/>
        <v>0</v>
      </c>
      <c r="V292" s="427" t="e">
        <f t="shared" si="191"/>
        <v>#DIV/0!</v>
      </c>
      <c r="W292" s="427"/>
      <c r="X292" s="522"/>
      <c r="Y292" s="522"/>
    </row>
    <row r="293" spans="1:27" ht="22.5" customHeight="1" thickTop="1" thickBot="1" x14ac:dyDescent="0.3">
      <c r="A293" s="425">
        <v>1</v>
      </c>
      <c r="B293" s="505" t="s">
        <v>216</v>
      </c>
      <c r="C293" s="505" t="s">
        <v>227</v>
      </c>
      <c r="D293" s="505" t="s">
        <v>305</v>
      </c>
      <c r="E293" s="505" t="s">
        <v>305</v>
      </c>
      <c r="F293" s="505" t="s">
        <v>216</v>
      </c>
      <c r="G293" s="505"/>
      <c r="H293" s="505"/>
      <c r="I293" s="505"/>
      <c r="J293" s="505"/>
      <c r="K293" s="502" t="s">
        <v>503</v>
      </c>
      <c r="L293" s="427"/>
      <c r="M293" s="427"/>
      <c r="N293" s="427"/>
      <c r="O293" s="426">
        <f>+L293+M293-N293</f>
        <v>0</v>
      </c>
      <c r="P293" s="605"/>
      <c r="Q293" s="606"/>
      <c r="R293" s="607"/>
      <c r="S293" s="427"/>
      <c r="T293" s="427"/>
      <c r="U293" s="608"/>
      <c r="V293" s="737">
        <v>0</v>
      </c>
      <c r="W293" s="427"/>
      <c r="X293" s="522"/>
      <c r="Y293" s="522"/>
      <c r="Z293" s="738">
        <f t="shared" ref="Z293:Z295" si="213">SUBTOTAL(9,P293:S293)</f>
        <v>0</v>
      </c>
      <c r="AA293" s="739">
        <f t="shared" ref="AA293:AA295" si="214">+Z293-O293</f>
        <v>0</v>
      </c>
    </row>
    <row r="294" spans="1:27" ht="22.5" customHeight="1" thickTop="1" thickBot="1" x14ac:dyDescent="0.3">
      <c r="A294" s="425">
        <v>1</v>
      </c>
      <c r="B294" s="505" t="s">
        <v>216</v>
      </c>
      <c r="C294" s="505" t="s">
        <v>227</v>
      </c>
      <c r="D294" s="505" t="s">
        <v>305</v>
      </c>
      <c r="E294" s="505" t="s">
        <v>305</v>
      </c>
      <c r="F294" s="505" t="s">
        <v>227</v>
      </c>
      <c r="G294" s="505"/>
      <c r="H294" s="505"/>
      <c r="I294" s="505"/>
      <c r="J294" s="505"/>
      <c r="K294" s="502" t="s">
        <v>504</v>
      </c>
      <c r="L294" s="427"/>
      <c r="M294" s="427"/>
      <c r="N294" s="427"/>
      <c r="O294" s="426">
        <f>+L294+M294-N294</f>
        <v>0</v>
      </c>
      <c r="P294" s="605"/>
      <c r="Q294" s="606"/>
      <c r="R294" s="607"/>
      <c r="S294" s="427"/>
      <c r="T294" s="427"/>
      <c r="U294" s="608"/>
      <c r="V294" s="737">
        <v>0</v>
      </c>
      <c r="W294" s="427"/>
      <c r="X294" s="522"/>
      <c r="Y294" s="522"/>
      <c r="Z294" s="738">
        <f t="shared" si="213"/>
        <v>0</v>
      </c>
      <c r="AA294" s="739">
        <f t="shared" si="214"/>
        <v>0</v>
      </c>
    </row>
    <row r="295" spans="1:27" ht="22.5" customHeight="1" thickTop="1" thickBot="1" x14ac:dyDescent="0.3">
      <c r="A295" s="425">
        <v>1</v>
      </c>
      <c r="B295" s="505" t="s">
        <v>216</v>
      </c>
      <c r="C295" s="505" t="s">
        <v>227</v>
      </c>
      <c r="D295" s="505" t="s">
        <v>305</v>
      </c>
      <c r="E295" s="505" t="s">
        <v>305</v>
      </c>
      <c r="F295" s="505" t="s">
        <v>229</v>
      </c>
      <c r="G295" s="505"/>
      <c r="H295" s="505"/>
      <c r="I295" s="505"/>
      <c r="J295" s="505"/>
      <c r="K295" s="502" t="s">
        <v>505</v>
      </c>
      <c r="L295" s="427"/>
      <c r="M295" s="427"/>
      <c r="N295" s="427"/>
      <c r="O295" s="426">
        <f>+L295+M295-N295</f>
        <v>0</v>
      </c>
      <c r="P295" s="605"/>
      <c r="Q295" s="606"/>
      <c r="R295" s="607"/>
      <c r="S295" s="427"/>
      <c r="T295" s="427"/>
      <c r="U295" s="608"/>
      <c r="V295" s="737">
        <v>0</v>
      </c>
      <c r="W295" s="427"/>
      <c r="X295" s="522"/>
      <c r="Y295" s="522"/>
      <c r="Z295" s="738">
        <f t="shared" si="213"/>
        <v>0</v>
      </c>
      <c r="AA295" s="739">
        <f t="shared" si="214"/>
        <v>0</v>
      </c>
    </row>
    <row r="296" spans="1:27" ht="22.5" customHeight="1" thickTop="1" thickBot="1" x14ac:dyDescent="0.3">
      <c r="A296" s="425">
        <v>1</v>
      </c>
      <c r="B296" s="505" t="s">
        <v>216</v>
      </c>
      <c r="C296" s="505" t="s">
        <v>227</v>
      </c>
      <c r="D296" s="505" t="s">
        <v>305</v>
      </c>
      <c r="E296" s="505" t="s">
        <v>313</v>
      </c>
      <c r="F296" s="505"/>
      <c r="G296" s="505"/>
      <c r="H296" s="505"/>
      <c r="I296" s="505"/>
      <c r="J296" s="505"/>
      <c r="K296" s="502" t="s">
        <v>506</v>
      </c>
      <c r="L296" s="427">
        <f>SUM(L297:L299)</f>
        <v>0</v>
      </c>
      <c r="M296" s="427">
        <f t="shared" ref="M296:U296" si="215">SUM(M297:M299)</f>
        <v>0</v>
      </c>
      <c r="N296" s="427">
        <f t="shared" si="215"/>
        <v>0</v>
      </c>
      <c r="O296" s="427">
        <f t="shared" si="215"/>
        <v>0</v>
      </c>
      <c r="P296" s="605">
        <f t="shared" si="215"/>
        <v>0</v>
      </c>
      <c r="Q296" s="606">
        <f t="shared" si="215"/>
        <v>0</v>
      </c>
      <c r="R296" s="607">
        <f t="shared" si="215"/>
        <v>0</v>
      </c>
      <c r="S296" s="427">
        <f t="shared" si="215"/>
        <v>0</v>
      </c>
      <c r="T296" s="427">
        <f t="shared" si="215"/>
        <v>0</v>
      </c>
      <c r="U296" s="608">
        <f t="shared" si="215"/>
        <v>0</v>
      </c>
      <c r="V296" s="427" t="e">
        <f t="shared" si="191"/>
        <v>#DIV/0!</v>
      </c>
      <c r="W296" s="427"/>
      <c r="X296" s="522"/>
      <c r="Y296" s="522"/>
    </row>
    <row r="297" spans="1:27" ht="22.5" customHeight="1" thickTop="1" thickBot="1" x14ac:dyDescent="0.3">
      <c r="A297" s="425">
        <v>1</v>
      </c>
      <c r="B297" s="505" t="s">
        <v>216</v>
      </c>
      <c r="C297" s="505" t="s">
        <v>227</v>
      </c>
      <c r="D297" s="505" t="s">
        <v>305</v>
      </c>
      <c r="E297" s="505" t="s">
        <v>313</v>
      </c>
      <c r="F297" s="505" t="s">
        <v>216</v>
      </c>
      <c r="G297" s="505"/>
      <c r="H297" s="505"/>
      <c r="I297" s="505"/>
      <c r="J297" s="505"/>
      <c r="K297" s="502" t="s">
        <v>507</v>
      </c>
      <c r="L297" s="427"/>
      <c r="M297" s="427"/>
      <c r="N297" s="427"/>
      <c r="O297" s="426">
        <f>+L297+M297-N297</f>
        <v>0</v>
      </c>
      <c r="P297" s="605"/>
      <c r="Q297" s="606"/>
      <c r="R297" s="607"/>
      <c r="S297" s="427"/>
      <c r="T297" s="427"/>
      <c r="U297" s="608"/>
      <c r="V297" s="737">
        <v>0</v>
      </c>
      <c r="W297" s="427"/>
      <c r="X297" s="522"/>
      <c r="Y297" s="522"/>
      <c r="Z297" s="738">
        <f t="shared" ref="Z297:Z299" si="216">SUBTOTAL(9,P297:S297)</f>
        <v>0</v>
      </c>
      <c r="AA297" s="739">
        <f t="shared" ref="AA297:AA299" si="217">+Z297-O297</f>
        <v>0</v>
      </c>
    </row>
    <row r="298" spans="1:27" ht="22.5" customHeight="1" thickTop="1" thickBot="1" x14ac:dyDescent="0.3">
      <c r="A298" s="425">
        <v>1</v>
      </c>
      <c r="B298" s="505" t="s">
        <v>216</v>
      </c>
      <c r="C298" s="505" t="s">
        <v>227</v>
      </c>
      <c r="D298" s="505" t="s">
        <v>305</v>
      </c>
      <c r="E298" s="505" t="s">
        <v>313</v>
      </c>
      <c r="F298" s="505" t="s">
        <v>227</v>
      </c>
      <c r="G298" s="505"/>
      <c r="H298" s="505"/>
      <c r="I298" s="505"/>
      <c r="J298" s="505"/>
      <c r="K298" s="502" t="s">
        <v>508</v>
      </c>
      <c r="L298" s="427"/>
      <c r="M298" s="427"/>
      <c r="N298" s="427"/>
      <c r="O298" s="426">
        <f>+L298+M298-N298</f>
        <v>0</v>
      </c>
      <c r="P298" s="605"/>
      <c r="Q298" s="606"/>
      <c r="R298" s="607"/>
      <c r="S298" s="427"/>
      <c r="T298" s="427"/>
      <c r="U298" s="608"/>
      <c r="V298" s="737">
        <v>0</v>
      </c>
      <c r="W298" s="427"/>
      <c r="X298" s="522"/>
      <c r="Y298" s="522"/>
      <c r="Z298" s="738">
        <f t="shared" si="216"/>
        <v>0</v>
      </c>
      <c r="AA298" s="739">
        <f t="shared" si="217"/>
        <v>0</v>
      </c>
    </row>
    <row r="299" spans="1:27" ht="22.5" customHeight="1" thickTop="1" thickBot="1" x14ac:dyDescent="0.3">
      <c r="A299" s="425">
        <v>1</v>
      </c>
      <c r="B299" s="505" t="s">
        <v>216</v>
      </c>
      <c r="C299" s="505" t="s">
        <v>227</v>
      </c>
      <c r="D299" s="505" t="s">
        <v>305</v>
      </c>
      <c r="E299" s="505" t="s">
        <v>313</v>
      </c>
      <c r="F299" s="505" t="s">
        <v>229</v>
      </c>
      <c r="G299" s="505"/>
      <c r="H299" s="505"/>
      <c r="I299" s="505"/>
      <c r="J299" s="505"/>
      <c r="K299" s="502" t="s">
        <v>509</v>
      </c>
      <c r="L299" s="427"/>
      <c r="M299" s="427"/>
      <c r="N299" s="427"/>
      <c r="O299" s="426">
        <f>+L299+M299-N299</f>
        <v>0</v>
      </c>
      <c r="P299" s="605"/>
      <c r="Q299" s="606"/>
      <c r="R299" s="607"/>
      <c r="S299" s="427"/>
      <c r="T299" s="427"/>
      <c r="U299" s="608"/>
      <c r="V299" s="737">
        <v>0</v>
      </c>
      <c r="W299" s="427"/>
      <c r="X299" s="522"/>
      <c r="Y299" s="522"/>
      <c r="Z299" s="738">
        <f t="shared" si="216"/>
        <v>0</v>
      </c>
      <c r="AA299" s="739">
        <f t="shared" si="217"/>
        <v>0</v>
      </c>
    </row>
    <row r="300" spans="1:27" ht="22.5" customHeight="1" thickTop="1" thickBot="1" x14ac:dyDescent="0.3">
      <c r="A300" s="425">
        <v>1</v>
      </c>
      <c r="B300" s="505" t="s">
        <v>216</v>
      </c>
      <c r="C300" s="505" t="s">
        <v>227</v>
      </c>
      <c r="D300" s="505" t="s">
        <v>305</v>
      </c>
      <c r="E300" s="505" t="s">
        <v>243</v>
      </c>
      <c r="F300" s="505"/>
      <c r="G300" s="505"/>
      <c r="H300" s="505"/>
      <c r="I300" s="505"/>
      <c r="J300" s="505"/>
      <c r="K300" s="502" t="s">
        <v>510</v>
      </c>
      <c r="L300" s="427">
        <f>SUM(L301:L303)</f>
        <v>0</v>
      </c>
      <c r="M300" s="427">
        <f t="shared" ref="M300:U300" si="218">SUM(M301:M303)</f>
        <v>0</v>
      </c>
      <c r="N300" s="427">
        <f t="shared" si="218"/>
        <v>0</v>
      </c>
      <c r="O300" s="427">
        <f t="shared" si="218"/>
        <v>0</v>
      </c>
      <c r="P300" s="605">
        <f t="shared" si="218"/>
        <v>0</v>
      </c>
      <c r="Q300" s="606">
        <f t="shared" si="218"/>
        <v>0</v>
      </c>
      <c r="R300" s="607">
        <f t="shared" si="218"/>
        <v>0</v>
      </c>
      <c r="S300" s="427">
        <f t="shared" si="218"/>
        <v>0</v>
      </c>
      <c r="T300" s="427">
        <f t="shared" si="218"/>
        <v>0</v>
      </c>
      <c r="U300" s="608">
        <f t="shared" si="218"/>
        <v>0</v>
      </c>
      <c r="V300" s="427" t="e">
        <f t="shared" si="191"/>
        <v>#DIV/0!</v>
      </c>
      <c r="W300" s="427"/>
      <c r="X300" s="522"/>
      <c r="Y300" s="522"/>
    </row>
    <row r="301" spans="1:27" ht="22.5" customHeight="1" thickTop="1" thickBot="1" x14ac:dyDescent="0.3">
      <c r="A301" s="425">
        <v>1</v>
      </c>
      <c r="B301" s="505" t="s">
        <v>216</v>
      </c>
      <c r="C301" s="505" t="s">
        <v>227</v>
      </c>
      <c r="D301" s="505" t="s">
        <v>305</v>
      </c>
      <c r="E301" s="505" t="s">
        <v>243</v>
      </c>
      <c r="F301" s="505" t="s">
        <v>216</v>
      </c>
      <c r="G301" s="505"/>
      <c r="H301" s="505"/>
      <c r="I301" s="505"/>
      <c r="J301" s="505"/>
      <c r="K301" s="502" t="s">
        <v>511</v>
      </c>
      <c r="L301" s="427"/>
      <c r="M301" s="427"/>
      <c r="N301" s="427"/>
      <c r="O301" s="426">
        <f>+L301+M301-N301</f>
        <v>0</v>
      </c>
      <c r="P301" s="605"/>
      <c r="Q301" s="606"/>
      <c r="R301" s="607"/>
      <c r="S301" s="427"/>
      <c r="T301" s="427"/>
      <c r="U301" s="608"/>
      <c r="V301" s="737">
        <v>0</v>
      </c>
      <c r="W301" s="427"/>
      <c r="X301" s="522"/>
      <c r="Y301" s="522"/>
      <c r="Z301" s="738">
        <f t="shared" ref="Z301:Z303" si="219">SUBTOTAL(9,P301:S301)</f>
        <v>0</v>
      </c>
      <c r="AA301" s="739">
        <f t="shared" ref="AA301:AA303" si="220">+Z301-O301</f>
        <v>0</v>
      </c>
    </row>
    <row r="302" spans="1:27" ht="22.5" customHeight="1" thickTop="1" thickBot="1" x14ac:dyDescent="0.3">
      <c r="A302" s="425">
        <v>1</v>
      </c>
      <c r="B302" s="505" t="s">
        <v>216</v>
      </c>
      <c r="C302" s="505" t="s">
        <v>227</v>
      </c>
      <c r="D302" s="505" t="s">
        <v>305</v>
      </c>
      <c r="E302" s="505" t="s">
        <v>243</v>
      </c>
      <c r="F302" s="505" t="s">
        <v>227</v>
      </c>
      <c r="G302" s="505"/>
      <c r="H302" s="505"/>
      <c r="I302" s="505"/>
      <c r="J302" s="505"/>
      <c r="K302" s="502" t="s">
        <v>512</v>
      </c>
      <c r="L302" s="427"/>
      <c r="M302" s="427"/>
      <c r="N302" s="427"/>
      <c r="O302" s="426">
        <f>+L302+M302-N302</f>
        <v>0</v>
      </c>
      <c r="P302" s="605"/>
      <c r="Q302" s="606"/>
      <c r="R302" s="607"/>
      <c r="S302" s="427"/>
      <c r="T302" s="427"/>
      <c r="U302" s="608"/>
      <c r="V302" s="737">
        <v>0</v>
      </c>
      <c r="W302" s="427"/>
      <c r="X302" s="522"/>
      <c r="Y302" s="522"/>
      <c r="Z302" s="738">
        <f t="shared" si="219"/>
        <v>0</v>
      </c>
      <c r="AA302" s="739">
        <f t="shared" si="220"/>
        <v>0</v>
      </c>
    </row>
    <row r="303" spans="1:27" ht="22.5" customHeight="1" thickTop="1" thickBot="1" x14ac:dyDescent="0.3">
      <c r="A303" s="425">
        <v>1</v>
      </c>
      <c r="B303" s="505" t="s">
        <v>216</v>
      </c>
      <c r="C303" s="505" t="s">
        <v>227</v>
      </c>
      <c r="D303" s="505" t="s">
        <v>305</v>
      </c>
      <c r="E303" s="505" t="s">
        <v>243</v>
      </c>
      <c r="F303" s="505" t="s">
        <v>229</v>
      </c>
      <c r="G303" s="505"/>
      <c r="H303" s="505"/>
      <c r="I303" s="505"/>
      <c r="J303" s="505"/>
      <c r="K303" s="502" t="s">
        <v>513</v>
      </c>
      <c r="L303" s="427"/>
      <c r="M303" s="427"/>
      <c r="N303" s="427"/>
      <c r="O303" s="426">
        <f>+L303+M303-N303</f>
        <v>0</v>
      </c>
      <c r="P303" s="605"/>
      <c r="Q303" s="606"/>
      <c r="R303" s="607"/>
      <c r="S303" s="427"/>
      <c r="T303" s="427"/>
      <c r="U303" s="608"/>
      <c r="V303" s="737">
        <v>0</v>
      </c>
      <c r="W303" s="427"/>
      <c r="X303" s="522"/>
      <c r="Y303" s="522"/>
      <c r="Z303" s="738">
        <f t="shared" si="219"/>
        <v>0</v>
      </c>
      <c r="AA303" s="739">
        <f t="shared" si="220"/>
        <v>0</v>
      </c>
    </row>
    <row r="304" spans="1:27" ht="22.5" customHeight="1" thickTop="1" thickBot="1" x14ac:dyDescent="0.3">
      <c r="A304" s="425">
        <v>1</v>
      </c>
      <c r="B304" s="505" t="s">
        <v>216</v>
      </c>
      <c r="C304" s="505" t="s">
        <v>227</v>
      </c>
      <c r="D304" s="505" t="s">
        <v>305</v>
      </c>
      <c r="E304" s="505" t="s">
        <v>361</v>
      </c>
      <c r="F304" s="505"/>
      <c r="G304" s="505"/>
      <c r="H304" s="505"/>
      <c r="I304" s="505"/>
      <c r="J304" s="505"/>
      <c r="K304" s="502" t="s">
        <v>514</v>
      </c>
      <c r="L304" s="427">
        <f>SUM(L305:L307)</f>
        <v>0</v>
      </c>
      <c r="M304" s="427">
        <f t="shared" ref="M304:U304" si="221">SUM(M305:M307)</f>
        <v>0</v>
      </c>
      <c r="N304" s="427">
        <f t="shared" si="221"/>
        <v>0</v>
      </c>
      <c r="O304" s="427">
        <f t="shared" si="221"/>
        <v>0</v>
      </c>
      <c r="P304" s="605">
        <f t="shared" si="221"/>
        <v>0</v>
      </c>
      <c r="Q304" s="606">
        <f t="shared" si="221"/>
        <v>0</v>
      </c>
      <c r="R304" s="607">
        <f t="shared" si="221"/>
        <v>0</v>
      </c>
      <c r="S304" s="427">
        <f t="shared" si="221"/>
        <v>0</v>
      </c>
      <c r="T304" s="427">
        <f t="shared" si="221"/>
        <v>0</v>
      </c>
      <c r="U304" s="608">
        <f t="shared" si="221"/>
        <v>0</v>
      </c>
      <c r="V304" s="427" t="e">
        <f t="shared" si="191"/>
        <v>#DIV/0!</v>
      </c>
      <c r="W304" s="427"/>
      <c r="X304" s="522"/>
      <c r="Y304" s="522"/>
    </row>
    <row r="305" spans="1:27" ht="22.5" customHeight="1" thickTop="1" thickBot="1" x14ac:dyDescent="0.3">
      <c r="A305" s="425">
        <v>1</v>
      </c>
      <c r="B305" s="505" t="s">
        <v>216</v>
      </c>
      <c r="C305" s="505" t="s">
        <v>227</v>
      </c>
      <c r="D305" s="505" t="s">
        <v>305</v>
      </c>
      <c r="E305" s="505" t="s">
        <v>361</v>
      </c>
      <c r="F305" s="505" t="s">
        <v>216</v>
      </c>
      <c r="G305" s="505"/>
      <c r="H305" s="505"/>
      <c r="I305" s="505"/>
      <c r="J305" s="505"/>
      <c r="K305" s="502" t="s">
        <v>515</v>
      </c>
      <c r="L305" s="427"/>
      <c r="M305" s="427"/>
      <c r="N305" s="427"/>
      <c r="O305" s="426">
        <f>+L305+M305-N305</f>
        <v>0</v>
      </c>
      <c r="P305" s="605"/>
      <c r="Q305" s="606"/>
      <c r="R305" s="607"/>
      <c r="S305" s="427"/>
      <c r="T305" s="427"/>
      <c r="U305" s="608"/>
      <c r="V305" s="737">
        <v>0</v>
      </c>
      <c r="W305" s="427"/>
      <c r="X305" s="522"/>
      <c r="Y305" s="522"/>
      <c r="Z305" s="738">
        <f t="shared" ref="Z305:Z309" si="222">SUBTOTAL(9,P305:S305)</f>
        <v>0</v>
      </c>
      <c r="AA305" s="739">
        <f t="shared" ref="AA305:AA309" si="223">+Z305-O305</f>
        <v>0</v>
      </c>
    </row>
    <row r="306" spans="1:27" ht="22.5" customHeight="1" thickTop="1" thickBot="1" x14ac:dyDescent="0.3">
      <c r="A306" s="425">
        <v>1</v>
      </c>
      <c r="B306" s="505" t="s">
        <v>216</v>
      </c>
      <c r="C306" s="505" t="s">
        <v>227</v>
      </c>
      <c r="D306" s="505" t="s">
        <v>305</v>
      </c>
      <c r="E306" s="505" t="s">
        <v>361</v>
      </c>
      <c r="F306" s="505" t="s">
        <v>227</v>
      </c>
      <c r="G306" s="505"/>
      <c r="H306" s="505"/>
      <c r="I306" s="505"/>
      <c r="J306" s="505"/>
      <c r="K306" s="502" t="s">
        <v>516</v>
      </c>
      <c r="L306" s="427"/>
      <c r="M306" s="427"/>
      <c r="N306" s="427"/>
      <c r="O306" s="426">
        <f>+L306+M306-N306</f>
        <v>0</v>
      </c>
      <c r="P306" s="605"/>
      <c r="Q306" s="606"/>
      <c r="R306" s="607"/>
      <c r="S306" s="427"/>
      <c r="T306" s="427"/>
      <c r="U306" s="608"/>
      <c r="V306" s="737">
        <v>0</v>
      </c>
      <c r="W306" s="427"/>
      <c r="X306" s="522"/>
      <c r="Y306" s="522"/>
      <c r="Z306" s="738">
        <f t="shared" si="222"/>
        <v>0</v>
      </c>
      <c r="AA306" s="739">
        <f t="shared" si="223"/>
        <v>0</v>
      </c>
    </row>
    <row r="307" spans="1:27" ht="22.5" customHeight="1" thickTop="1" thickBot="1" x14ac:dyDescent="0.3">
      <c r="A307" s="425">
        <v>1</v>
      </c>
      <c r="B307" s="505" t="s">
        <v>216</v>
      </c>
      <c r="C307" s="505" t="s">
        <v>227</v>
      </c>
      <c r="D307" s="505" t="s">
        <v>305</v>
      </c>
      <c r="E307" s="505" t="s">
        <v>361</v>
      </c>
      <c r="F307" s="505" t="s">
        <v>229</v>
      </c>
      <c r="G307" s="505"/>
      <c r="H307" s="505"/>
      <c r="I307" s="505"/>
      <c r="J307" s="505"/>
      <c r="K307" s="502" t="s">
        <v>517</v>
      </c>
      <c r="L307" s="427"/>
      <c r="M307" s="427"/>
      <c r="N307" s="427"/>
      <c r="O307" s="426">
        <f>+L307+M307-N307</f>
        <v>0</v>
      </c>
      <c r="P307" s="605"/>
      <c r="Q307" s="606"/>
      <c r="R307" s="607"/>
      <c r="S307" s="427"/>
      <c r="T307" s="427"/>
      <c r="U307" s="608"/>
      <c r="V307" s="737">
        <v>0</v>
      </c>
      <c r="W307" s="427"/>
      <c r="X307" s="522"/>
      <c r="Y307" s="522"/>
      <c r="Z307" s="738">
        <f t="shared" si="222"/>
        <v>0</v>
      </c>
      <c r="AA307" s="739">
        <f t="shared" si="223"/>
        <v>0</v>
      </c>
    </row>
    <row r="308" spans="1:27" ht="22.5" customHeight="1" thickTop="1" thickBot="1" x14ac:dyDescent="0.3">
      <c r="A308" s="425">
        <v>1</v>
      </c>
      <c r="B308" s="505" t="s">
        <v>216</v>
      </c>
      <c r="C308" s="505" t="s">
        <v>227</v>
      </c>
      <c r="D308" s="505" t="s">
        <v>243</v>
      </c>
      <c r="E308" s="505"/>
      <c r="F308" s="505"/>
      <c r="G308" s="505"/>
      <c r="H308" s="505"/>
      <c r="I308" s="505"/>
      <c r="J308" s="505"/>
      <c r="K308" s="501" t="s">
        <v>518</v>
      </c>
      <c r="L308" s="426">
        <f>+L309+L310</f>
        <v>1627000000</v>
      </c>
      <c r="M308" s="427">
        <f t="shared" ref="M308:T308" si="224">+M309+M310+M341+M342+M343+M344</f>
        <v>0</v>
      </c>
      <c r="N308" s="427">
        <f t="shared" si="224"/>
        <v>0</v>
      </c>
      <c r="O308" s="426">
        <f>+O309+O310</f>
        <v>1627000000</v>
      </c>
      <c r="P308" s="667">
        <f t="shared" ref="P308:R308" si="225">+P309+P310</f>
        <v>162700000</v>
      </c>
      <c r="Q308" s="667">
        <f t="shared" si="225"/>
        <v>1301600000</v>
      </c>
      <c r="R308" s="667">
        <f t="shared" si="225"/>
        <v>162700000</v>
      </c>
      <c r="S308" s="426">
        <f t="shared" si="224"/>
        <v>0</v>
      </c>
      <c r="T308" s="426">
        <f t="shared" si="224"/>
        <v>0</v>
      </c>
      <c r="U308" s="601">
        <v>1243313253</v>
      </c>
      <c r="V308" s="737">
        <f t="shared" ref="V308" si="226">+U308/O308</f>
        <v>0.76417532452366321</v>
      </c>
      <c r="W308" s="427"/>
      <c r="X308" s="522"/>
      <c r="Y308" s="522"/>
      <c r="Z308" s="738">
        <f t="shared" si="222"/>
        <v>1627000000</v>
      </c>
      <c r="AA308" s="739">
        <f t="shared" si="223"/>
        <v>0</v>
      </c>
    </row>
    <row r="309" spans="1:27" ht="22.5" customHeight="1" thickTop="1" thickBot="1" x14ac:dyDescent="0.3">
      <c r="A309" s="425">
        <v>1</v>
      </c>
      <c r="B309" s="505" t="s">
        <v>216</v>
      </c>
      <c r="C309" s="505" t="s">
        <v>227</v>
      </c>
      <c r="D309" s="505" t="s">
        <v>243</v>
      </c>
      <c r="E309" s="505" t="s">
        <v>220</v>
      </c>
      <c r="F309" s="505"/>
      <c r="G309" s="505"/>
      <c r="H309" s="505"/>
      <c r="I309" s="505"/>
      <c r="J309" s="505"/>
      <c r="K309" s="502" t="s">
        <v>519</v>
      </c>
      <c r="L309" s="427"/>
      <c r="M309" s="427"/>
      <c r="N309" s="427"/>
      <c r="O309" s="426">
        <f>+L309+M309-N309</f>
        <v>0</v>
      </c>
      <c r="P309" s="605"/>
      <c r="Q309" s="606"/>
      <c r="R309" s="607"/>
      <c r="S309" s="427"/>
      <c r="T309" s="427"/>
      <c r="U309" s="608"/>
      <c r="V309" s="737">
        <v>0</v>
      </c>
      <c r="W309" s="427"/>
      <c r="X309" s="522"/>
      <c r="Y309" s="522"/>
      <c r="Z309" s="738">
        <f t="shared" si="222"/>
        <v>0</v>
      </c>
      <c r="AA309" s="739">
        <f t="shared" si="223"/>
        <v>0</v>
      </c>
    </row>
    <row r="310" spans="1:27" ht="16.5" thickTop="1" thickBot="1" x14ac:dyDescent="0.3">
      <c r="A310" s="425">
        <v>1</v>
      </c>
      <c r="B310" s="505" t="s">
        <v>216</v>
      </c>
      <c r="C310" s="505" t="s">
        <v>227</v>
      </c>
      <c r="D310" s="505" t="s">
        <v>243</v>
      </c>
      <c r="E310" s="505" t="s">
        <v>231</v>
      </c>
      <c r="F310" s="505"/>
      <c r="G310" s="505"/>
      <c r="H310" s="505"/>
      <c r="I310" s="505"/>
      <c r="J310" s="505"/>
      <c r="K310" s="502" t="s">
        <v>520</v>
      </c>
      <c r="L310" s="427">
        <v>1627000000</v>
      </c>
      <c r="M310" s="427">
        <f t="shared" ref="M310:U310" si="227">SUM(M311:M340)</f>
        <v>0</v>
      </c>
      <c r="N310" s="427">
        <f t="shared" si="227"/>
        <v>0</v>
      </c>
      <c r="O310" s="744">
        <v>1627000000</v>
      </c>
      <c r="P310" s="605">
        <v>162700000</v>
      </c>
      <c r="Q310" s="606">
        <v>1301600000</v>
      </c>
      <c r="R310" s="607">
        <v>162700000</v>
      </c>
      <c r="S310" s="427">
        <f t="shared" si="227"/>
        <v>0</v>
      </c>
      <c r="T310" s="427">
        <f t="shared" si="227"/>
        <v>0</v>
      </c>
      <c r="U310" s="608">
        <f t="shared" si="227"/>
        <v>0</v>
      </c>
      <c r="V310" s="427" t="e">
        <f t="shared" si="191"/>
        <v>#DIV/0!</v>
      </c>
      <c r="W310" s="427"/>
      <c r="X310" s="522"/>
      <c r="Y310" s="522"/>
    </row>
    <row r="311" spans="1:27" ht="22.5" customHeight="1" thickTop="1" thickBot="1" x14ac:dyDescent="0.3">
      <c r="A311" s="425">
        <v>1</v>
      </c>
      <c r="B311" s="505" t="s">
        <v>216</v>
      </c>
      <c r="C311" s="505" t="s">
        <v>227</v>
      </c>
      <c r="D311" s="505" t="s">
        <v>243</v>
      </c>
      <c r="E311" s="505" t="s">
        <v>231</v>
      </c>
      <c r="F311" s="505" t="s">
        <v>220</v>
      </c>
      <c r="G311" s="505"/>
      <c r="H311" s="505"/>
      <c r="I311" s="505"/>
      <c r="J311" s="505"/>
      <c r="K311" s="502" t="s">
        <v>521</v>
      </c>
      <c r="L311" s="427"/>
      <c r="M311" s="427"/>
      <c r="N311" s="427"/>
      <c r="O311" s="426">
        <f t="shared" ref="O311:O344" si="228">+L311+M311-N311</f>
        <v>0</v>
      </c>
      <c r="P311" s="605"/>
      <c r="Q311" s="606"/>
      <c r="R311" s="607"/>
      <c r="S311" s="427"/>
      <c r="T311" s="427"/>
      <c r="U311" s="608"/>
      <c r="V311" s="737">
        <v>0</v>
      </c>
      <c r="W311" s="427"/>
      <c r="X311" s="522"/>
      <c r="Y311" s="522"/>
      <c r="Z311" s="738">
        <f t="shared" ref="Z311:Z344" si="229">SUBTOTAL(9,P311:S311)</f>
        <v>0</v>
      </c>
      <c r="AA311" s="739">
        <f t="shared" ref="AA311:AA344" si="230">+Z311-O311</f>
        <v>0</v>
      </c>
    </row>
    <row r="312" spans="1:27" ht="22.5" customHeight="1" thickTop="1" thickBot="1" x14ac:dyDescent="0.3">
      <c r="A312" s="425">
        <v>1</v>
      </c>
      <c r="B312" s="505" t="s">
        <v>216</v>
      </c>
      <c r="C312" s="505" t="s">
        <v>227</v>
      </c>
      <c r="D312" s="505" t="s">
        <v>243</v>
      </c>
      <c r="E312" s="505" t="s">
        <v>231</v>
      </c>
      <c r="F312" s="505" t="s">
        <v>231</v>
      </c>
      <c r="G312" s="505"/>
      <c r="H312" s="505"/>
      <c r="I312" s="505"/>
      <c r="J312" s="505"/>
      <c r="K312" s="502" t="s">
        <v>522</v>
      </c>
      <c r="L312" s="427"/>
      <c r="M312" s="427"/>
      <c r="N312" s="427"/>
      <c r="O312" s="426">
        <f t="shared" si="228"/>
        <v>0</v>
      </c>
      <c r="P312" s="605"/>
      <c r="Q312" s="606"/>
      <c r="R312" s="607"/>
      <c r="S312" s="427"/>
      <c r="T312" s="427"/>
      <c r="U312" s="608"/>
      <c r="V312" s="737">
        <v>0</v>
      </c>
      <c r="W312" s="427"/>
      <c r="X312" s="522"/>
      <c r="Y312" s="522"/>
      <c r="Z312" s="738">
        <f t="shared" si="229"/>
        <v>0</v>
      </c>
      <c r="AA312" s="739">
        <f t="shared" si="230"/>
        <v>0</v>
      </c>
    </row>
    <row r="313" spans="1:27" ht="22.5" customHeight="1" thickTop="1" thickBot="1" x14ac:dyDescent="0.3">
      <c r="A313" s="425">
        <v>1</v>
      </c>
      <c r="B313" s="505" t="s">
        <v>216</v>
      </c>
      <c r="C313" s="505" t="s">
        <v>227</v>
      </c>
      <c r="D313" s="505" t="s">
        <v>243</v>
      </c>
      <c r="E313" s="505" t="s">
        <v>231</v>
      </c>
      <c r="F313" s="505" t="s">
        <v>305</v>
      </c>
      <c r="G313" s="505"/>
      <c r="H313" s="505"/>
      <c r="I313" s="505"/>
      <c r="J313" s="505"/>
      <c r="K313" s="502" t="s">
        <v>523</v>
      </c>
      <c r="L313" s="427"/>
      <c r="M313" s="427"/>
      <c r="N313" s="427"/>
      <c r="O313" s="426">
        <f t="shared" si="228"/>
        <v>0</v>
      </c>
      <c r="P313" s="605"/>
      <c r="Q313" s="606"/>
      <c r="R313" s="607"/>
      <c r="S313" s="427"/>
      <c r="T313" s="427"/>
      <c r="U313" s="608"/>
      <c r="V313" s="737">
        <v>0</v>
      </c>
      <c r="W313" s="427"/>
      <c r="X313" s="522"/>
      <c r="Y313" s="522"/>
      <c r="Z313" s="738">
        <f t="shared" si="229"/>
        <v>0</v>
      </c>
      <c r="AA313" s="739">
        <f t="shared" si="230"/>
        <v>0</v>
      </c>
    </row>
    <row r="314" spans="1:27" ht="22.5" customHeight="1" thickTop="1" thickBot="1" x14ac:dyDescent="0.3">
      <c r="A314" s="425">
        <v>1</v>
      </c>
      <c r="B314" s="505" t="s">
        <v>216</v>
      </c>
      <c r="C314" s="505" t="s">
        <v>227</v>
      </c>
      <c r="D314" s="505" t="s">
        <v>243</v>
      </c>
      <c r="E314" s="505" t="s">
        <v>231</v>
      </c>
      <c r="F314" s="505" t="s">
        <v>313</v>
      </c>
      <c r="G314" s="505"/>
      <c r="H314" s="505"/>
      <c r="I314" s="505"/>
      <c r="J314" s="505"/>
      <c r="K314" s="502" t="s">
        <v>524</v>
      </c>
      <c r="L314" s="427"/>
      <c r="M314" s="427"/>
      <c r="N314" s="427"/>
      <c r="O314" s="426">
        <f t="shared" si="228"/>
        <v>0</v>
      </c>
      <c r="P314" s="605"/>
      <c r="Q314" s="606"/>
      <c r="R314" s="607"/>
      <c r="S314" s="427"/>
      <c r="T314" s="427"/>
      <c r="U314" s="608"/>
      <c r="V314" s="737">
        <v>0</v>
      </c>
      <c r="W314" s="427"/>
      <c r="X314" s="522"/>
      <c r="Y314" s="522"/>
      <c r="Z314" s="738">
        <f t="shared" si="229"/>
        <v>0</v>
      </c>
      <c r="AA314" s="739">
        <f t="shared" si="230"/>
        <v>0</v>
      </c>
    </row>
    <row r="315" spans="1:27" ht="22.5" customHeight="1" thickTop="1" thickBot="1" x14ac:dyDescent="0.3">
      <c r="A315" s="425">
        <v>1</v>
      </c>
      <c r="B315" s="505" t="s">
        <v>216</v>
      </c>
      <c r="C315" s="505" t="s">
        <v>227</v>
      </c>
      <c r="D315" s="505" t="s">
        <v>243</v>
      </c>
      <c r="E315" s="505" t="s">
        <v>231</v>
      </c>
      <c r="F315" s="505" t="s">
        <v>243</v>
      </c>
      <c r="G315" s="505"/>
      <c r="H315" s="505"/>
      <c r="I315" s="505"/>
      <c r="J315" s="505"/>
      <c r="K315" s="502" t="s">
        <v>525</v>
      </c>
      <c r="L315" s="427"/>
      <c r="M315" s="427"/>
      <c r="N315" s="427"/>
      <c r="O315" s="426">
        <f t="shared" si="228"/>
        <v>0</v>
      </c>
      <c r="P315" s="605"/>
      <c r="Q315" s="606"/>
      <c r="R315" s="607"/>
      <c r="S315" s="427"/>
      <c r="T315" s="427"/>
      <c r="U315" s="608"/>
      <c r="V315" s="737">
        <v>0</v>
      </c>
      <c r="W315" s="427"/>
      <c r="X315" s="522"/>
      <c r="Y315" s="522"/>
      <c r="Z315" s="738">
        <f t="shared" si="229"/>
        <v>0</v>
      </c>
      <c r="AA315" s="739">
        <f t="shared" si="230"/>
        <v>0</v>
      </c>
    </row>
    <row r="316" spans="1:27" ht="22.5" customHeight="1" thickTop="1" thickBot="1" x14ac:dyDescent="0.3">
      <c r="A316" s="425">
        <v>1</v>
      </c>
      <c r="B316" s="505" t="s">
        <v>216</v>
      </c>
      <c r="C316" s="505" t="s">
        <v>227</v>
      </c>
      <c r="D316" s="505" t="s">
        <v>243</v>
      </c>
      <c r="E316" s="505" t="s">
        <v>231</v>
      </c>
      <c r="F316" s="505" t="s">
        <v>361</v>
      </c>
      <c r="G316" s="505"/>
      <c r="H316" s="505"/>
      <c r="I316" s="505"/>
      <c r="J316" s="505"/>
      <c r="K316" s="502" t="s">
        <v>526</v>
      </c>
      <c r="L316" s="427"/>
      <c r="M316" s="427"/>
      <c r="N316" s="427"/>
      <c r="O316" s="426">
        <f t="shared" si="228"/>
        <v>0</v>
      </c>
      <c r="P316" s="605"/>
      <c r="Q316" s="606"/>
      <c r="R316" s="607"/>
      <c r="S316" s="427"/>
      <c r="T316" s="427"/>
      <c r="U316" s="608"/>
      <c r="V316" s="737">
        <v>0</v>
      </c>
      <c r="W316" s="427"/>
      <c r="X316" s="522"/>
      <c r="Y316" s="522"/>
      <c r="Z316" s="738">
        <f t="shared" si="229"/>
        <v>0</v>
      </c>
      <c r="AA316" s="739">
        <f t="shared" si="230"/>
        <v>0</v>
      </c>
    </row>
    <row r="317" spans="1:27" ht="22.5" customHeight="1" thickTop="1" thickBot="1" x14ac:dyDescent="0.3">
      <c r="A317" s="425">
        <v>1</v>
      </c>
      <c r="B317" s="505" t="s">
        <v>216</v>
      </c>
      <c r="C317" s="505" t="s">
        <v>227</v>
      </c>
      <c r="D317" s="505" t="s">
        <v>243</v>
      </c>
      <c r="E317" s="505" t="s">
        <v>231</v>
      </c>
      <c r="F317" s="505" t="s">
        <v>366</v>
      </c>
      <c r="G317" s="505"/>
      <c r="H317" s="505"/>
      <c r="I317" s="505"/>
      <c r="J317" s="505"/>
      <c r="K317" s="502" t="s">
        <v>527</v>
      </c>
      <c r="L317" s="427"/>
      <c r="M317" s="427"/>
      <c r="N317" s="427"/>
      <c r="O317" s="426">
        <f t="shared" si="228"/>
        <v>0</v>
      </c>
      <c r="P317" s="605"/>
      <c r="Q317" s="606"/>
      <c r="R317" s="607"/>
      <c r="S317" s="427"/>
      <c r="T317" s="427"/>
      <c r="U317" s="608"/>
      <c r="V317" s="737">
        <v>0</v>
      </c>
      <c r="W317" s="427"/>
      <c r="X317" s="522"/>
      <c r="Y317" s="522"/>
      <c r="Z317" s="738">
        <f t="shared" si="229"/>
        <v>0</v>
      </c>
      <c r="AA317" s="739">
        <f t="shared" si="230"/>
        <v>0</v>
      </c>
    </row>
    <row r="318" spans="1:27" ht="22.5" customHeight="1" thickTop="1" thickBot="1" x14ac:dyDescent="0.3">
      <c r="A318" s="425">
        <v>1</v>
      </c>
      <c r="B318" s="505" t="s">
        <v>216</v>
      </c>
      <c r="C318" s="505" t="s">
        <v>227</v>
      </c>
      <c r="D318" s="505" t="s">
        <v>243</v>
      </c>
      <c r="E318" s="505" t="s">
        <v>231</v>
      </c>
      <c r="F318" s="505" t="s">
        <v>371</v>
      </c>
      <c r="G318" s="505"/>
      <c r="H318" s="505"/>
      <c r="I318" s="505"/>
      <c r="J318" s="505"/>
      <c r="K318" s="502" t="s">
        <v>528</v>
      </c>
      <c r="L318" s="427"/>
      <c r="M318" s="427"/>
      <c r="N318" s="427"/>
      <c r="O318" s="426">
        <f t="shared" si="228"/>
        <v>0</v>
      </c>
      <c r="P318" s="605"/>
      <c r="Q318" s="606"/>
      <c r="R318" s="607"/>
      <c r="S318" s="427"/>
      <c r="T318" s="427"/>
      <c r="U318" s="608"/>
      <c r="V318" s="737">
        <v>0</v>
      </c>
      <c r="W318" s="427"/>
      <c r="X318" s="522"/>
      <c r="Y318" s="522"/>
      <c r="Z318" s="738">
        <f t="shared" si="229"/>
        <v>0</v>
      </c>
      <c r="AA318" s="739">
        <f t="shared" si="230"/>
        <v>0</v>
      </c>
    </row>
    <row r="319" spans="1:27" ht="22.5" customHeight="1" thickTop="1" thickBot="1" x14ac:dyDescent="0.3">
      <c r="A319" s="425">
        <v>1</v>
      </c>
      <c r="B319" s="505" t="s">
        <v>216</v>
      </c>
      <c r="C319" s="505" t="s">
        <v>227</v>
      </c>
      <c r="D319" s="505" t="s">
        <v>243</v>
      </c>
      <c r="E319" s="505" t="s">
        <v>231</v>
      </c>
      <c r="F319" s="505" t="s">
        <v>376</v>
      </c>
      <c r="G319" s="505"/>
      <c r="H319" s="505"/>
      <c r="I319" s="505"/>
      <c r="J319" s="505"/>
      <c r="K319" s="502" t="s">
        <v>529</v>
      </c>
      <c r="L319" s="427"/>
      <c r="M319" s="427"/>
      <c r="N319" s="427"/>
      <c r="O319" s="426">
        <f t="shared" si="228"/>
        <v>0</v>
      </c>
      <c r="P319" s="605"/>
      <c r="Q319" s="606"/>
      <c r="R319" s="607"/>
      <c r="S319" s="427"/>
      <c r="T319" s="427"/>
      <c r="U319" s="608"/>
      <c r="V319" s="737">
        <v>0</v>
      </c>
      <c r="W319" s="427"/>
      <c r="X319" s="522"/>
      <c r="Y319" s="522"/>
      <c r="Z319" s="738">
        <f t="shared" si="229"/>
        <v>0</v>
      </c>
      <c r="AA319" s="739">
        <f t="shared" si="230"/>
        <v>0</v>
      </c>
    </row>
    <row r="320" spans="1:27" ht="22.5" customHeight="1" thickTop="1" thickBot="1" x14ac:dyDescent="0.3">
      <c r="A320" s="425">
        <v>1</v>
      </c>
      <c r="B320" s="505" t="s">
        <v>216</v>
      </c>
      <c r="C320" s="505" t="s">
        <v>227</v>
      </c>
      <c r="D320" s="505" t="s">
        <v>243</v>
      </c>
      <c r="E320" s="505" t="s">
        <v>231</v>
      </c>
      <c r="F320" s="505" t="s">
        <v>381</v>
      </c>
      <c r="G320" s="505"/>
      <c r="H320" s="505"/>
      <c r="I320" s="505"/>
      <c r="J320" s="505"/>
      <c r="K320" s="502" t="s">
        <v>530</v>
      </c>
      <c r="L320" s="427"/>
      <c r="M320" s="427"/>
      <c r="N320" s="427"/>
      <c r="O320" s="426">
        <f t="shared" si="228"/>
        <v>0</v>
      </c>
      <c r="P320" s="605"/>
      <c r="Q320" s="606"/>
      <c r="R320" s="607"/>
      <c r="S320" s="427"/>
      <c r="T320" s="427"/>
      <c r="U320" s="608"/>
      <c r="V320" s="737">
        <v>0</v>
      </c>
      <c r="W320" s="427"/>
      <c r="X320" s="522"/>
      <c r="Y320" s="522"/>
      <c r="Z320" s="738">
        <f t="shared" si="229"/>
        <v>0</v>
      </c>
      <c r="AA320" s="739">
        <f t="shared" si="230"/>
        <v>0</v>
      </c>
    </row>
    <row r="321" spans="1:27" ht="22.5" customHeight="1" thickTop="1" thickBot="1" x14ac:dyDescent="0.3">
      <c r="A321" s="425">
        <v>1</v>
      </c>
      <c r="B321" s="505" t="s">
        <v>216</v>
      </c>
      <c r="C321" s="505" t="s">
        <v>227</v>
      </c>
      <c r="D321" s="505" t="s">
        <v>243</v>
      </c>
      <c r="E321" s="505" t="s">
        <v>231</v>
      </c>
      <c r="F321" s="505" t="s">
        <v>531</v>
      </c>
      <c r="G321" s="505"/>
      <c r="H321" s="505"/>
      <c r="I321" s="505"/>
      <c r="J321" s="505"/>
      <c r="K321" s="502" t="s">
        <v>532</v>
      </c>
      <c r="L321" s="427"/>
      <c r="M321" s="427"/>
      <c r="N321" s="427"/>
      <c r="O321" s="426">
        <f t="shared" si="228"/>
        <v>0</v>
      </c>
      <c r="P321" s="605"/>
      <c r="Q321" s="606"/>
      <c r="R321" s="607"/>
      <c r="S321" s="427"/>
      <c r="T321" s="427"/>
      <c r="U321" s="608"/>
      <c r="V321" s="737">
        <v>0</v>
      </c>
      <c r="W321" s="427"/>
      <c r="X321" s="522"/>
      <c r="Y321" s="522"/>
      <c r="Z321" s="738">
        <f t="shared" si="229"/>
        <v>0</v>
      </c>
      <c r="AA321" s="739">
        <f t="shared" si="230"/>
        <v>0</v>
      </c>
    </row>
    <row r="322" spans="1:27" ht="22.5" customHeight="1" thickTop="1" thickBot="1" x14ac:dyDescent="0.3">
      <c r="A322" s="425">
        <v>1</v>
      </c>
      <c r="B322" s="505" t="s">
        <v>216</v>
      </c>
      <c r="C322" s="505" t="s">
        <v>227</v>
      </c>
      <c r="D322" s="505" t="s">
        <v>243</v>
      </c>
      <c r="E322" s="505" t="s">
        <v>231</v>
      </c>
      <c r="F322" s="505" t="s">
        <v>533</v>
      </c>
      <c r="G322" s="505"/>
      <c r="H322" s="505"/>
      <c r="I322" s="505"/>
      <c r="J322" s="505"/>
      <c r="K322" s="502" t="s">
        <v>534</v>
      </c>
      <c r="L322" s="427"/>
      <c r="M322" s="427"/>
      <c r="N322" s="427"/>
      <c r="O322" s="426">
        <f t="shared" si="228"/>
        <v>0</v>
      </c>
      <c r="P322" s="605"/>
      <c r="Q322" s="606"/>
      <c r="R322" s="607"/>
      <c r="S322" s="427"/>
      <c r="T322" s="427"/>
      <c r="U322" s="608"/>
      <c r="V322" s="737">
        <v>0</v>
      </c>
      <c r="W322" s="427"/>
      <c r="X322" s="522"/>
      <c r="Y322" s="522"/>
      <c r="Z322" s="738">
        <f t="shared" si="229"/>
        <v>0</v>
      </c>
      <c r="AA322" s="739">
        <f t="shared" si="230"/>
        <v>0</v>
      </c>
    </row>
    <row r="323" spans="1:27" ht="22.5" customHeight="1" thickTop="1" thickBot="1" x14ac:dyDescent="0.3">
      <c r="A323" s="425">
        <v>1</v>
      </c>
      <c r="B323" s="505" t="s">
        <v>216</v>
      </c>
      <c r="C323" s="505" t="s">
        <v>227</v>
      </c>
      <c r="D323" s="505" t="s">
        <v>243</v>
      </c>
      <c r="E323" s="505" t="s">
        <v>231</v>
      </c>
      <c r="F323" s="505" t="s">
        <v>322</v>
      </c>
      <c r="G323" s="505"/>
      <c r="H323" s="505"/>
      <c r="I323" s="505"/>
      <c r="J323" s="505"/>
      <c r="K323" s="502" t="s">
        <v>535</v>
      </c>
      <c r="L323" s="427"/>
      <c r="M323" s="427"/>
      <c r="N323" s="427"/>
      <c r="O323" s="426">
        <f t="shared" si="228"/>
        <v>0</v>
      </c>
      <c r="P323" s="605"/>
      <c r="Q323" s="606"/>
      <c r="R323" s="607"/>
      <c r="S323" s="427"/>
      <c r="T323" s="427"/>
      <c r="U323" s="608"/>
      <c r="V323" s="737">
        <v>0</v>
      </c>
      <c r="W323" s="427"/>
      <c r="X323" s="522"/>
      <c r="Y323" s="522"/>
      <c r="Z323" s="738">
        <f t="shared" si="229"/>
        <v>0</v>
      </c>
      <c r="AA323" s="739">
        <f t="shared" si="230"/>
        <v>0</v>
      </c>
    </row>
    <row r="324" spans="1:27" ht="22.5" customHeight="1" thickTop="1" thickBot="1" x14ac:dyDescent="0.3">
      <c r="A324" s="425">
        <v>1</v>
      </c>
      <c r="B324" s="505" t="s">
        <v>216</v>
      </c>
      <c r="C324" s="505" t="s">
        <v>227</v>
      </c>
      <c r="D324" s="505" t="s">
        <v>243</v>
      </c>
      <c r="E324" s="505" t="s">
        <v>231</v>
      </c>
      <c r="F324" s="505" t="s">
        <v>394</v>
      </c>
      <c r="G324" s="505"/>
      <c r="H324" s="505"/>
      <c r="I324" s="505"/>
      <c r="J324" s="505"/>
      <c r="K324" s="502" t="s">
        <v>536</v>
      </c>
      <c r="L324" s="427"/>
      <c r="M324" s="427"/>
      <c r="N324" s="427"/>
      <c r="O324" s="426">
        <f t="shared" si="228"/>
        <v>0</v>
      </c>
      <c r="P324" s="605"/>
      <c r="Q324" s="606"/>
      <c r="R324" s="607"/>
      <c r="S324" s="427"/>
      <c r="T324" s="427"/>
      <c r="U324" s="608"/>
      <c r="V324" s="737">
        <v>0</v>
      </c>
      <c r="W324" s="427"/>
      <c r="X324" s="522"/>
      <c r="Y324" s="522"/>
      <c r="Z324" s="738">
        <f t="shared" si="229"/>
        <v>0</v>
      </c>
      <c r="AA324" s="739">
        <f t="shared" si="230"/>
        <v>0</v>
      </c>
    </row>
    <row r="325" spans="1:27" ht="22.5" customHeight="1" thickTop="1" thickBot="1" x14ac:dyDescent="0.3">
      <c r="A325" s="425">
        <v>1</v>
      </c>
      <c r="B325" s="505" t="s">
        <v>216</v>
      </c>
      <c r="C325" s="505" t="s">
        <v>227</v>
      </c>
      <c r="D325" s="505" t="s">
        <v>243</v>
      </c>
      <c r="E325" s="505" t="s">
        <v>231</v>
      </c>
      <c r="F325" s="505" t="s">
        <v>537</v>
      </c>
      <c r="G325" s="505"/>
      <c r="H325" s="505"/>
      <c r="I325" s="505"/>
      <c r="J325" s="505"/>
      <c r="K325" s="502" t="s">
        <v>538</v>
      </c>
      <c r="L325" s="427"/>
      <c r="M325" s="427"/>
      <c r="N325" s="427"/>
      <c r="O325" s="426">
        <f t="shared" si="228"/>
        <v>0</v>
      </c>
      <c r="P325" s="605"/>
      <c r="Q325" s="606"/>
      <c r="R325" s="607"/>
      <c r="S325" s="427"/>
      <c r="T325" s="427"/>
      <c r="U325" s="608"/>
      <c r="V325" s="737">
        <v>0</v>
      </c>
      <c r="W325" s="427"/>
      <c r="X325" s="522"/>
      <c r="Y325" s="522"/>
      <c r="Z325" s="738">
        <f t="shared" si="229"/>
        <v>0</v>
      </c>
      <c r="AA325" s="739">
        <f t="shared" si="230"/>
        <v>0</v>
      </c>
    </row>
    <row r="326" spans="1:27" ht="22.5" customHeight="1" thickTop="1" thickBot="1" x14ac:dyDescent="0.3">
      <c r="A326" s="425">
        <v>1</v>
      </c>
      <c r="B326" s="505" t="s">
        <v>216</v>
      </c>
      <c r="C326" s="505" t="s">
        <v>227</v>
      </c>
      <c r="D326" s="505" t="s">
        <v>243</v>
      </c>
      <c r="E326" s="505" t="s">
        <v>231</v>
      </c>
      <c r="F326" s="505" t="s">
        <v>539</v>
      </c>
      <c r="G326" s="505"/>
      <c r="H326" s="505"/>
      <c r="I326" s="505"/>
      <c r="J326" s="505"/>
      <c r="K326" s="502" t="s">
        <v>540</v>
      </c>
      <c r="L326" s="427"/>
      <c r="M326" s="427"/>
      <c r="N326" s="427"/>
      <c r="O326" s="426">
        <f t="shared" si="228"/>
        <v>0</v>
      </c>
      <c r="P326" s="605"/>
      <c r="Q326" s="606"/>
      <c r="R326" s="607"/>
      <c r="S326" s="427"/>
      <c r="T326" s="427"/>
      <c r="U326" s="608"/>
      <c r="V326" s="737">
        <v>0</v>
      </c>
      <c r="W326" s="427"/>
      <c r="X326" s="522"/>
      <c r="Y326" s="522"/>
      <c r="Z326" s="738">
        <f t="shared" si="229"/>
        <v>0</v>
      </c>
      <c r="AA326" s="739">
        <f t="shared" si="230"/>
        <v>0</v>
      </c>
    </row>
    <row r="327" spans="1:27" ht="22.5" customHeight="1" thickTop="1" thickBot="1" x14ac:dyDescent="0.3">
      <c r="A327" s="425">
        <v>1</v>
      </c>
      <c r="B327" s="505" t="s">
        <v>216</v>
      </c>
      <c r="C327" s="505" t="s">
        <v>227</v>
      </c>
      <c r="D327" s="505" t="s">
        <v>243</v>
      </c>
      <c r="E327" s="505" t="s">
        <v>231</v>
      </c>
      <c r="F327" s="505" t="s">
        <v>541</v>
      </c>
      <c r="G327" s="505"/>
      <c r="H327" s="505"/>
      <c r="I327" s="505"/>
      <c r="J327" s="505"/>
      <c r="K327" s="502" t="s">
        <v>542</v>
      </c>
      <c r="L327" s="427"/>
      <c r="M327" s="427"/>
      <c r="N327" s="427"/>
      <c r="O327" s="426">
        <f t="shared" si="228"/>
        <v>0</v>
      </c>
      <c r="P327" s="605"/>
      <c r="Q327" s="606"/>
      <c r="R327" s="607"/>
      <c r="S327" s="427"/>
      <c r="T327" s="427"/>
      <c r="U327" s="608"/>
      <c r="V327" s="737">
        <v>0</v>
      </c>
      <c r="W327" s="427"/>
      <c r="X327" s="522"/>
      <c r="Y327" s="522"/>
      <c r="Z327" s="738">
        <f t="shared" si="229"/>
        <v>0</v>
      </c>
      <c r="AA327" s="739">
        <f t="shared" si="230"/>
        <v>0</v>
      </c>
    </row>
    <row r="328" spans="1:27" ht="22.5" customHeight="1" thickTop="1" thickBot="1" x14ac:dyDescent="0.3">
      <c r="A328" s="425">
        <v>1</v>
      </c>
      <c r="B328" s="505" t="s">
        <v>216</v>
      </c>
      <c r="C328" s="505" t="s">
        <v>227</v>
      </c>
      <c r="D328" s="505" t="s">
        <v>243</v>
      </c>
      <c r="E328" s="505" t="s">
        <v>231</v>
      </c>
      <c r="F328" s="505" t="s">
        <v>543</v>
      </c>
      <c r="G328" s="505"/>
      <c r="H328" s="505"/>
      <c r="I328" s="505"/>
      <c r="J328" s="505"/>
      <c r="K328" s="502" t="s">
        <v>544</v>
      </c>
      <c r="L328" s="427"/>
      <c r="M328" s="427"/>
      <c r="N328" s="427"/>
      <c r="O328" s="426">
        <f t="shared" si="228"/>
        <v>0</v>
      </c>
      <c r="P328" s="605"/>
      <c r="Q328" s="606"/>
      <c r="R328" s="607"/>
      <c r="S328" s="427"/>
      <c r="T328" s="427"/>
      <c r="U328" s="608"/>
      <c r="V328" s="737">
        <v>0</v>
      </c>
      <c r="W328" s="427"/>
      <c r="X328" s="522"/>
      <c r="Y328" s="522"/>
      <c r="Z328" s="738">
        <f t="shared" si="229"/>
        <v>0</v>
      </c>
      <c r="AA328" s="739">
        <f t="shared" si="230"/>
        <v>0</v>
      </c>
    </row>
    <row r="329" spans="1:27" ht="22.5" customHeight="1" thickTop="1" thickBot="1" x14ac:dyDescent="0.3">
      <c r="A329" s="425">
        <v>1</v>
      </c>
      <c r="B329" s="505" t="s">
        <v>216</v>
      </c>
      <c r="C329" s="505" t="s">
        <v>227</v>
      </c>
      <c r="D329" s="505" t="s">
        <v>243</v>
      </c>
      <c r="E329" s="505" t="s">
        <v>231</v>
      </c>
      <c r="F329" s="505" t="s">
        <v>545</v>
      </c>
      <c r="G329" s="505"/>
      <c r="H329" s="505"/>
      <c r="I329" s="505"/>
      <c r="J329" s="505"/>
      <c r="K329" s="502" t="s">
        <v>546</v>
      </c>
      <c r="L329" s="427"/>
      <c r="M329" s="427"/>
      <c r="N329" s="427"/>
      <c r="O329" s="426">
        <f t="shared" si="228"/>
        <v>0</v>
      </c>
      <c r="P329" s="605"/>
      <c r="Q329" s="606"/>
      <c r="R329" s="607"/>
      <c r="S329" s="427"/>
      <c r="T329" s="427"/>
      <c r="U329" s="608"/>
      <c r="V329" s="737">
        <v>0</v>
      </c>
      <c r="W329" s="427"/>
      <c r="X329" s="522"/>
      <c r="Y329" s="522"/>
      <c r="Z329" s="738">
        <f t="shared" si="229"/>
        <v>0</v>
      </c>
      <c r="AA329" s="739">
        <f t="shared" si="230"/>
        <v>0</v>
      </c>
    </row>
    <row r="330" spans="1:27" ht="22.5" customHeight="1" thickTop="1" thickBot="1" x14ac:dyDescent="0.3">
      <c r="A330" s="425">
        <v>1</v>
      </c>
      <c r="B330" s="505" t="s">
        <v>216</v>
      </c>
      <c r="C330" s="505" t="s">
        <v>227</v>
      </c>
      <c r="D330" s="505" t="s">
        <v>243</v>
      </c>
      <c r="E330" s="505" t="s">
        <v>231</v>
      </c>
      <c r="F330" s="505" t="s">
        <v>547</v>
      </c>
      <c r="G330" s="505"/>
      <c r="H330" s="505"/>
      <c r="I330" s="505"/>
      <c r="J330" s="505"/>
      <c r="K330" s="502" t="s">
        <v>548</v>
      </c>
      <c r="L330" s="427"/>
      <c r="M330" s="427"/>
      <c r="N330" s="427"/>
      <c r="O330" s="426">
        <f t="shared" si="228"/>
        <v>0</v>
      </c>
      <c r="P330" s="605"/>
      <c r="Q330" s="606"/>
      <c r="R330" s="607"/>
      <c r="S330" s="427"/>
      <c r="T330" s="427"/>
      <c r="U330" s="608"/>
      <c r="V330" s="737">
        <v>0</v>
      </c>
      <c r="W330" s="427"/>
      <c r="X330" s="522"/>
      <c r="Y330" s="522"/>
      <c r="Z330" s="738">
        <f t="shared" si="229"/>
        <v>0</v>
      </c>
      <c r="AA330" s="739">
        <f t="shared" si="230"/>
        <v>0</v>
      </c>
    </row>
    <row r="331" spans="1:27" ht="22.5" customHeight="1" thickTop="1" thickBot="1" x14ac:dyDescent="0.3">
      <c r="A331" s="425">
        <v>1</v>
      </c>
      <c r="B331" s="505" t="s">
        <v>216</v>
      </c>
      <c r="C331" s="505" t="s">
        <v>227</v>
      </c>
      <c r="D331" s="505" t="s">
        <v>243</v>
      </c>
      <c r="E331" s="505" t="s">
        <v>231</v>
      </c>
      <c r="F331" s="505" t="s">
        <v>549</v>
      </c>
      <c r="G331" s="505"/>
      <c r="H331" s="505"/>
      <c r="I331" s="505"/>
      <c r="J331" s="505"/>
      <c r="K331" s="502" t="s">
        <v>550</v>
      </c>
      <c r="L331" s="427"/>
      <c r="M331" s="427"/>
      <c r="N331" s="427"/>
      <c r="O331" s="426">
        <f t="shared" si="228"/>
        <v>0</v>
      </c>
      <c r="P331" s="605"/>
      <c r="Q331" s="606"/>
      <c r="R331" s="607"/>
      <c r="S331" s="427"/>
      <c r="T331" s="427"/>
      <c r="U331" s="608"/>
      <c r="V331" s="737">
        <v>0</v>
      </c>
      <c r="W331" s="427"/>
      <c r="X331" s="522"/>
      <c r="Y331" s="522"/>
      <c r="Z331" s="738">
        <f t="shared" si="229"/>
        <v>0</v>
      </c>
      <c r="AA331" s="739">
        <f t="shared" si="230"/>
        <v>0</v>
      </c>
    </row>
    <row r="332" spans="1:27" ht="22.5" customHeight="1" thickTop="1" thickBot="1" x14ac:dyDescent="0.3">
      <c r="A332" s="425">
        <v>1</v>
      </c>
      <c r="B332" s="505" t="s">
        <v>216</v>
      </c>
      <c r="C332" s="505" t="s">
        <v>227</v>
      </c>
      <c r="D332" s="505" t="s">
        <v>243</v>
      </c>
      <c r="E332" s="505" t="s">
        <v>231</v>
      </c>
      <c r="F332" s="505" t="s">
        <v>327</v>
      </c>
      <c r="G332" s="505"/>
      <c r="H332" s="505"/>
      <c r="I332" s="505"/>
      <c r="J332" s="505"/>
      <c r="K332" s="502" t="s">
        <v>551</v>
      </c>
      <c r="L332" s="427"/>
      <c r="M332" s="427"/>
      <c r="N332" s="427"/>
      <c r="O332" s="426">
        <f t="shared" si="228"/>
        <v>0</v>
      </c>
      <c r="P332" s="605"/>
      <c r="Q332" s="606"/>
      <c r="R332" s="607"/>
      <c r="S332" s="427"/>
      <c r="T332" s="427"/>
      <c r="U332" s="608"/>
      <c r="V332" s="737">
        <v>0</v>
      </c>
      <c r="W332" s="427"/>
      <c r="X332" s="522"/>
      <c r="Y332" s="522"/>
      <c r="Z332" s="738">
        <f t="shared" si="229"/>
        <v>0</v>
      </c>
      <c r="AA332" s="739">
        <f t="shared" si="230"/>
        <v>0</v>
      </c>
    </row>
    <row r="333" spans="1:27" ht="22.5" customHeight="1" thickTop="1" thickBot="1" x14ac:dyDescent="0.3">
      <c r="A333" s="425">
        <v>1</v>
      </c>
      <c r="B333" s="505" t="s">
        <v>216</v>
      </c>
      <c r="C333" s="505" t="s">
        <v>227</v>
      </c>
      <c r="D333" s="505" t="s">
        <v>243</v>
      </c>
      <c r="E333" s="505" t="s">
        <v>231</v>
      </c>
      <c r="F333" s="505" t="s">
        <v>552</v>
      </c>
      <c r="G333" s="505"/>
      <c r="H333" s="505"/>
      <c r="I333" s="505"/>
      <c r="J333" s="505"/>
      <c r="K333" s="502" t="s">
        <v>553</v>
      </c>
      <c r="L333" s="427"/>
      <c r="M333" s="427"/>
      <c r="N333" s="427"/>
      <c r="O333" s="426">
        <f t="shared" si="228"/>
        <v>0</v>
      </c>
      <c r="P333" s="605"/>
      <c r="Q333" s="606"/>
      <c r="R333" s="607"/>
      <c r="S333" s="427"/>
      <c r="T333" s="427"/>
      <c r="U333" s="608"/>
      <c r="V333" s="737">
        <v>0</v>
      </c>
      <c r="W333" s="427"/>
      <c r="X333" s="522"/>
      <c r="Y333" s="522"/>
      <c r="Z333" s="738">
        <f t="shared" si="229"/>
        <v>0</v>
      </c>
      <c r="AA333" s="739">
        <f t="shared" si="230"/>
        <v>0</v>
      </c>
    </row>
    <row r="334" spans="1:27" ht="22.5" customHeight="1" thickTop="1" thickBot="1" x14ac:dyDescent="0.3">
      <c r="A334" s="425">
        <v>1</v>
      </c>
      <c r="B334" s="505" t="s">
        <v>216</v>
      </c>
      <c r="C334" s="505" t="s">
        <v>227</v>
      </c>
      <c r="D334" s="505" t="s">
        <v>243</v>
      </c>
      <c r="E334" s="505" t="s">
        <v>231</v>
      </c>
      <c r="F334" s="505" t="s">
        <v>554</v>
      </c>
      <c r="G334" s="505"/>
      <c r="H334" s="505"/>
      <c r="I334" s="505"/>
      <c r="J334" s="505"/>
      <c r="K334" s="502" t="s">
        <v>555</v>
      </c>
      <c r="L334" s="427"/>
      <c r="M334" s="427"/>
      <c r="N334" s="427"/>
      <c r="O334" s="426">
        <f t="shared" si="228"/>
        <v>0</v>
      </c>
      <c r="P334" s="605"/>
      <c r="Q334" s="606"/>
      <c r="R334" s="607"/>
      <c r="S334" s="427"/>
      <c r="T334" s="427"/>
      <c r="U334" s="608"/>
      <c r="V334" s="737">
        <v>0</v>
      </c>
      <c r="W334" s="427"/>
      <c r="X334" s="522"/>
      <c r="Y334" s="522"/>
      <c r="Z334" s="738">
        <f t="shared" si="229"/>
        <v>0</v>
      </c>
      <c r="AA334" s="739">
        <f t="shared" si="230"/>
        <v>0</v>
      </c>
    </row>
    <row r="335" spans="1:27" ht="22.5" customHeight="1" thickTop="1" thickBot="1" x14ac:dyDescent="0.3">
      <c r="A335" s="425">
        <v>1</v>
      </c>
      <c r="B335" s="505" t="s">
        <v>216</v>
      </c>
      <c r="C335" s="505" t="s">
        <v>227</v>
      </c>
      <c r="D335" s="505" t="s">
        <v>243</v>
      </c>
      <c r="E335" s="505" t="s">
        <v>231</v>
      </c>
      <c r="F335" s="505" t="s">
        <v>556</v>
      </c>
      <c r="G335" s="505"/>
      <c r="H335" s="505"/>
      <c r="I335" s="505"/>
      <c r="J335" s="505"/>
      <c r="K335" s="502" t="s">
        <v>557</v>
      </c>
      <c r="L335" s="427"/>
      <c r="M335" s="427"/>
      <c r="N335" s="427"/>
      <c r="O335" s="426">
        <f t="shared" si="228"/>
        <v>0</v>
      </c>
      <c r="P335" s="605"/>
      <c r="Q335" s="606"/>
      <c r="R335" s="607"/>
      <c r="S335" s="427"/>
      <c r="T335" s="427"/>
      <c r="U335" s="608"/>
      <c r="V335" s="737">
        <v>0</v>
      </c>
      <c r="W335" s="427"/>
      <c r="X335" s="522"/>
      <c r="Y335" s="522"/>
      <c r="Z335" s="738">
        <f t="shared" si="229"/>
        <v>0</v>
      </c>
      <c r="AA335" s="739">
        <f t="shared" si="230"/>
        <v>0</v>
      </c>
    </row>
    <row r="336" spans="1:27" ht="22.5" customHeight="1" thickTop="1" thickBot="1" x14ac:dyDescent="0.3">
      <c r="A336" s="425">
        <v>1</v>
      </c>
      <c r="B336" s="505" t="s">
        <v>216</v>
      </c>
      <c r="C336" s="505" t="s">
        <v>227</v>
      </c>
      <c r="D336" s="505" t="s">
        <v>243</v>
      </c>
      <c r="E336" s="505" t="s">
        <v>231</v>
      </c>
      <c r="F336" s="505" t="s">
        <v>558</v>
      </c>
      <c r="G336" s="505"/>
      <c r="H336" s="505"/>
      <c r="I336" s="505"/>
      <c r="J336" s="505"/>
      <c r="K336" s="502" t="s">
        <v>559</v>
      </c>
      <c r="L336" s="427"/>
      <c r="M336" s="427"/>
      <c r="N336" s="427"/>
      <c r="O336" s="426">
        <f t="shared" si="228"/>
        <v>0</v>
      </c>
      <c r="P336" s="605"/>
      <c r="Q336" s="606"/>
      <c r="R336" s="607"/>
      <c r="S336" s="427"/>
      <c r="T336" s="427"/>
      <c r="U336" s="608"/>
      <c r="V336" s="737">
        <v>0</v>
      </c>
      <c r="W336" s="427"/>
      <c r="X336" s="522"/>
      <c r="Y336" s="522"/>
      <c r="Z336" s="738">
        <f t="shared" si="229"/>
        <v>0</v>
      </c>
      <c r="AA336" s="739">
        <f t="shared" si="230"/>
        <v>0</v>
      </c>
    </row>
    <row r="337" spans="1:27" ht="22.5" customHeight="1" thickTop="1" thickBot="1" x14ac:dyDescent="0.3">
      <c r="A337" s="425">
        <v>1</v>
      </c>
      <c r="B337" s="505" t="s">
        <v>216</v>
      </c>
      <c r="C337" s="505" t="s">
        <v>227</v>
      </c>
      <c r="D337" s="505" t="s">
        <v>243</v>
      </c>
      <c r="E337" s="505" t="s">
        <v>231</v>
      </c>
      <c r="F337" s="505" t="s">
        <v>560</v>
      </c>
      <c r="G337" s="505"/>
      <c r="H337" s="505"/>
      <c r="I337" s="505"/>
      <c r="J337" s="505"/>
      <c r="K337" s="502" t="s">
        <v>561</v>
      </c>
      <c r="L337" s="427"/>
      <c r="M337" s="427"/>
      <c r="N337" s="427"/>
      <c r="O337" s="426">
        <f t="shared" si="228"/>
        <v>0</v>
      </c>
      <c r="P337" s="605"/>
      <c r="Q337" s="606"/>
      <c r="R337" s="607"/>
      <c r="S337" s="427"/>
      <c r="T337" s="427"/>
      <c r="U337" s="608"/>
      <c r="V337" s="737">
        <v>0</v>
      </c>
      <c r="W337" s="427"/>
      <c r="X337" s="522"/>
      <c r="Y337" s="522"/>
      <c r="Z337" s="738">
        <f t="shared" si="229"/>
        <v>0</v>
      </c>
      <c r="AA337" s="739">
        <f t="shared" si="230"/>
        <v>0</v>
      </c>
    </row>
    <row r="338" spans="1:27" ht="22.5" customHeight="1" thickTop="1" thickBot="1" x14ac:dyDescent="0.3">
      <c r="A338" s="425">
        <v>1</v>
      </c>
      <c r="B338" s="505" t="s">
        <v>216</v>
      </c>
      <c r="C338" s="505" t="s">
        <v>227</v>
      </c>
      <c r="D338" s="505" t="s">
        <v>243</v>
      </c>
      <c r="E338" s="505" t="s">
        <v>231</v>
      </c>
      <c r="F338" s="505" t="s">
        <v>562</v>
      </c>
      <c r="G338" s="505"/>
      <c r="H338" s="505"/>
      <c r="I338" s="505"/>
      <c r="J338" s="505"/>
      <c r="K338" s="502" t="s">
        <v>563</v>
      </c>
      <c r="L338" s="427"/>
      <c r="M338" s="427"/>
      <c r="N338" s="427"/>
      <c r="O338" s="426">
        <f t="shared" si="228"/>
        <v>0</v>
      </c>
      <c r="P338" s="605"/>
      <c r="Q338" s="606"/>
      <c r="R338" s="607"/>
      <c r="S338" s="427"/>
      <c r="T338" s="427"/>
      <c r="U338" s="608"/>
      <c r="V338" s="737">
        <v>0</v>
      </c>
      <c r="W338" s="427"/>
      <c r="X338" s="522"/>
      <c r="Y338" s="522"/>
      <c r="Z338" s="738">
        <f t="shared" si="229"/>
        <v>0</v>
      </c>
      <c r="AA338" s="739">
        <f t="shared" si="230"/>
        <v>0</v>
      </c>
    </row>
    <row r="339" spans="1:27" ht="22.5" customHeight="1" thickTop="1" thickBot="1" x14ac:dyDescent="0.3">
      <c r="A339" s="425">
        <v>1</v>
      </c>
      <c r="B339" s="505" t="s">
        <v>216</v>
      </c>
      <c r="C339" s="505" t="s">
        <v>227</v>
      </c>
      <c r="D339" s="505" t="s">
        <v>243</v>
      </c>
      <c r="E339" s="505" t="s">
        <v>231</v>
      </c>
      <c r="F339" s="505" t="s">
        <v>564</v>
      </c>
      <c r="G339" s="505"/>
      <c r="H339" s="505"/>
      <c r="I339" s="505"/>
      <c r="J339" s="505"/>
      <c r="K339" s="502" t="s">
        <v>565</v>
      </c>
      <c r="L339" s="427"/>
      <c r="M339" s="427"/>
      <c r="N339" s="427"/>
      <c r="O339" s="426">
        <f t="shared" si="228"/>
        <v>0</v>
      </c>
      <c r="P339" s="605"/>
      <c r="Q339" s="606"/>
      <c r="R339" s="607"/>
      <c r="S339" s="427"/>
      <c r="T339" s="427"/>
      <c r="U339" s="608"/>
      <c r="V339" s="737">
        <v>0</v>
      </c>
      <c r="W339" s="427"/>
      <c r="X339" s="522"/>
      <c r="Y339" s="522"/>
      <c r="Z339" s="738">
        <f t="shared" si="229"/>
        <v>0</v>
      </c>
      <c r="AA339" s="739">
        <f t="shared" si="230"/>
        <v>0</v>
      </c>
    </row>
    <row r="340" spans="1:27" ht="22.5" customHeight="1" thickTop="1" thickBot="1" x14ac:dyDescent="0.3">
      <c r="A340" s="425">
        <v>1</v>
      </c>
      <c r="B340" s="505" t="s">
        <v>216</v>
      </c>
      <c r="C340" s="505" t="s">
        <v>227</v>
      </c>
      <c r="D340" s="505" t="s">
        <v>243</v>
      </c>
      <c r="E340" s="505" t="s">
        <v>231</v>
      </c>
      <c r="F340" s="505" t="s">
        <v>566</v>
      </c>
      <c r="G340" s="505"/>
      <c r="H340" s="505"/>
      <c r="I340" s="505"/>
      <c r="J340" s="505"/>
      <c r="K340" s="502" t="s">
        <v>567</v>
      </c>
      <c r="L340" s="427"/>
      <c r="M340" s="427"/>
      <c r="N340" s="427"/>
      <c r="O340" s="426">
        <f t="shared" si="228"/>
        <v>0</v>
      </c>
      <c r="P340" s="605"/>
      <c r="Q340" s="606"/>
      <c r="R340" s="607"/>
      <c r="S340" s="427"/>
      <c r="T340" s="427"/>
      <c r="U340" s="608"/>
      <c r="V340" s="737">
        <v>0</v>
      </c>
      <c r="W340" s="427"/>
      <c r="X340" s="522"/>
      <c r="Y340" s="522"/>
      <c r="Z340" s="738">
        <f t="shared" si="229"/>
        <v>0</v>
      </c>
      <c r="AA340" s="739">
        <f t="shared" si="230"/>
        <v>0</v>
      </c>
    </row>
    <row r="341" spans="1:27" ht="22.5" customHeight="1" thickTop="1" thickBot="1" x14ac:dyDescent="0.3">
      <c r="A341" s="425">
        <v>1</v>
      </c>
      <c r="B341" s="505" t="s">
        <v>216</v>
      </c>
      <c r="C341" s="505" t="s">
        <v>227</v>
      </c>
      <c r="D341" s="505" t="s">
        <v>243</v>
      </c>
      <c r="E341" s="505" t="s">
        <v>305</v>
      </c>
      <c r="F341" s="505"/>
      <c r="G341" s="505"/>
      <c r="H341" s="505"/>
      <c r="I341" s="505"/>
      <c r="J341" s="505"/>
      <c r="K341" s="502" t="s">
        <v>568</v>
      </c>
      <c r="L341" s="427"/>
      <c r="M341" s="427"/>
      <c r="N341" s="427"/>
      <c r="O341" s="426">
        <f t="shared" si="228"/>
        <v>0</v>
      </c>
      <c r="P341" s="605"/>
      <c r="Q341" s="606"/>
      <c r="R341" s="607"/>
      <c r="S341" s="427"/>
      <c r="T341" s="427"/>
      <c r="U341" s="608"/>
      <c r="V341" s="737">
        <v>0</v>
      </c>
      <c r="W341" s="427"/>
      <c r="X341" s="522"/>
      <c r="Y341" s="522"/>
      <c r="Z341" s="738">
        <f t="shared" si="229"/>
        <v>0</v>
      </c>
      <c r="AA341" s="739">
        <f t="shared" si="230"/>
        <v>0</v>
      </c>
    </row>
    <row r="342" spans="1:27" ht="22.5" customHeight="1" thickTop="1" thickBot="1" x14ac:dyDescent="0.3">
      <c r="A342" s="425">
        <v>1</v>
      </c>
      <c r="B342" s="505" t="s">
        <v>216</v>
      </c>
      <c r="C342" s="505" t="s">
        <v>227</v>
      </c>
      <c r="D342" s="505" t="s">
        <v>243</v>
      </c>
      <c r="E342" s="505" t="s">
        <v>313</v>
      </c>
      <c r="F342" s="505"/>
      <c r="G342" s="505"/>
      <c r="H342" s="505"/>
      <c r="I342" s="505"/>
      <c r="J342" s="505"/>
      <c r="K342" s="502" t="s">
        <v>569</v>
      </c>
      <c r="L342" s="427"/>
      <c r="M342" s="427"/>
      <c r="N342" s="427"/>
      <c r="O342" s="426">
        <f t="shared" si="228"/>
        <v>0</v>
      </c>
      <c r="P342" s="605"/>
      <c r="Q342" s="606"/>
      <c r="R342" s="607"/>
      <c r="S342" s="427"/>
      <c r="T342" s="427"/>
      <c r="U342" s="608"/>
      <c r="V342" s="737">
        <v>0</v>
      </c>
      <c r="W342" s="427"/>
      <c r="X342" s="522"/>
      <c r="Y342" s="522"/>
      <c r="Z342" s="738">
        <f t="shared" si="229"/>
        <v>0</v>
      </c>
      <c r="AA342" s="739">
        <f t="shared" si="230"/>
        <v>0</v>
      </c>
    </row>
    <row r="343" spans="1:27" ht="22.5" customHeight="1" thickTop="1" thickBot="1" x14ac:dyDescent="0.3">
      <c r="A343" s="425">
        <v>1</v>
      </c>
      <c r="B343" s="505" t="s">
        <v>216</v>
      </c>
      <c r="C343" s="505" t="s">
        <v>227</v>
      </c>
      <c r="D343" s="505" t="s">
        <v>243</v>
      </c>
      <c r="E343" s="505" t="s">
        <v>243</v>
      </c>
      <c r="F343" s="505"/>
      <c r="G343" s="505"/>
      <c r="H343" s="505"/>
      <c r="I343" s="505"/>
      <c r="J343" s="505"/>
      <c r="K343" s="502" t="s">
        <v>570</v>
      </c>
      <c r="L343" s="427"/>
      <c r="M343" s="427"/>
      <c r="N343" s="427"/>
      <c r="O343" s="426">
        <f t="shared" si="228"/>
        <v>0</v>
      </c>
      <c r="P343" s="605"/>
      <c r="Q343" s="606"/>
      <c r="R343" s="607"/>
      <c r="S343" s="427"/>
      <c r="T343" s="427"/>
      <c r="U343" s="608"/>
      <c r="V343" s="737">
        <v>0</v>
      </c>
      <c r="W343" s="427"/>
      <c r="X343" s="522"/>
      <c r="Y343" s="522"/>
      <c r="Z343" s="738">
        <f t="shared" si="229"/>
        <v>0</v>
      </c>
      <c r="AA343" s="739">
        <f t="shared" si="230"/>
        <v>0</v>
      </c>
    </row>
    <row r="344" spans="1:27" ht="22.5" customHeight="1" thickTop="1" thickBot="1" x14ac:dyDescent="0.3">
      <c r="A344" s="425">
        <v>1</v>
      </c>
      <c r="B344" s="505" t="s">
        <v>216</v>
      </c>
      <c r="C344" s="505" t="s">
        <v>227</v>
      </c>
      <c r="D344" s="505" t="s">
        <v>243</v>
      </c>
      <c r="E344" s="505" t="s">
        <v>361</v>
      </c>
      <c r="F344" s="505"/>
      <c r="G344" s="505"/>
      <c r="H344" s="505"/>
      <c r="I344" s="505"/>
      <c r="J344" s="505"/>
      <c r="K344" s="502" t="s">
        <v>571</v>
      </c>
      <c r="L344" s="427"/>
      <c r="M344" s="427"/>
      <c r="N344" s="427"/>
      <c r="O344" s="426">
        <f t="shared" si="228"/>
        <v>0</v>
      </c>
      <c r="P344" s="605"/>
      <c r="Q344" s="606"/>
      <c r="R344" s="607"/>
      <c r="S344" s="427"/>
      <c r="T344" s="427"/>
      <c r="U344" s="608"/>
      <c r="V344" s="737">
        <v>0</v>
      </c>
      <c r="W344" s="427"/>
      <c r="X344" s="522"/>
      <c r="Y344" s="522"/>
      <c r="Z344" s="738">
        <f t="shared" si="229"/>
        <v>0</v>
      </c>
      <c r="AA344" s="739">
        <f t="shared" si="230"/>
        <v>0</v>
      </c>
    </row>
    <row r="345" spans="1:27" ht="22.5" customHeight="1" thickTop="1" thickBot="1" x14ac:dyDescent="0.3">
      <c r="A345" s="425">
        <v>1</v>
      </c>
      <c r="B345" s="505" t="s">
        <v>216</v>
      </c>
      <c r="C345" s="505" t="s">
        <v>227</v>
      </c>
      <c r="D345" s="505" t="s">
        <v>361</v>
      </c>
      <c r="E345" s="505"/>
      <c r="F345" s="505"/>
      <c r="G345" s="505"/>
      <c r="H345" s="505"/>
      <c r="I345" s="505"/>
      <c r="J345" s="505"/>
      <c r="K345" s="502" t="s">
        <v>572</v>
      </c>
      <c r="L345" s="427">
        <f>+L346+L360+L362</f>
        <v>0</v>
      </c>
      <c r="M345" s="427">
        <f t="shared" ref="M345:U345" si="231">+M346+M360+M362</f>
        <v>0</v>
      </c>
      <c r="N345" s="427">
        <f t="shared" si="231"/>
        <v>0</v>
      </c>
      <c r="O345" s="427">
        <f t="shared" si="231"/>
        <v>0</v>
      </c>
      <c r="P345" s="605">
        <f t="shared" si="231"/>
        <v>0</v>
      </c>
      <c r="Q345" s="606">
        <f t="shared" si="231"/>
        <v>0</v>
      </c>
      <c r="R345" s="607">
        <f t="shared" si="231"/>
        <v>0</v>
      </c>
      <c r="S345" s="427">
        <f t="shared" si="231"/>
        <v>0</v>
      </c>
      <c r="T345" s="427">
        <f t="shared" si="231"/>
        <v>0</v>
      </c>
      <c r="U345" s="608">
        <f t="shared" si="231"/>
        <v>0</v>
      </c>
      <c r="V345" s="427" t="e">
        <f t="shared" ref="V345:V390" si="232">+U345/T345</f>
        <v>#DIV/0!</v>
      </c>
      <c r="W345" s="427"/>
      <c r="X345" s="522"/>
      <c r="Y345" s="522"/>
    </row>
    <row r="346" spans="1:27" ht="22.5" customHeight="1" thickTop="1" thickBot="1" x14ac:dyDescent="0.3">
      <c r="A346" s="425">
        <v>1</v>
      </c>
      <c r="B346" s="505" t="s">
        <v>216</v>
      </c>
      <c r="C346" s="505" t="s">
        <v>227</v>
      </c>
      <c r="D346" s="505" t="s">
        <v>361</v>
      </c>
      <c r="E346" s="505" t="s">
        <v>220</v>
      </c>
      <c r="F346" s="505"/>
      <c r="G346" s="505"/>
      <c r="H346" s="505"/>
      <c r="I346" s="505"/>
      <c r="J346" s="505"/>
      <c r="K346" s="502" t="s">
        <v>573</v>
      </c>
      <c r="L346" s="427">
        <f>+L347+L348+L349+L352+L356</f>
        <v>0</v>
      </c>
      <c r="M346" s="427">
        <f t="shared" ref="M346:U346" si="233">+M347+M348+M349+M352+M356</f>
        <v>0</v>
      </c>
      <c r="N346" s="427">
        <f t="shared" si="233"/>
        <v>0</v>
      </c>
      <c r="O346" s="427">
        <f t="shared" si="233"/>
        <v>0</v>
      </c>
      <c r="P346" s="605">
        <f t="shared" si="233"/>
        <v>0</v>
      </c>
      <c r="Q346" s="606">
        <f t="shared" si="233"/>
        <v>0</v>
      </c>
      <c r="R346" s="607">
        <f t="shared" si="233"/>
        <v>0</v>
      </c>
      <c r="S346" s="427">
        <f t="shared" si="233"/>
        <v>0</v>
      </c>
      <c r="T346" s="427">
        <f t="shared" si="233"/>
        <v>0</v>
      </c>
      <c r="U346" s="608">
        <f t="shared" si="233"/>
        <v>0</v>
      </c>
      <c r="V346" s="427" t="e">
        <f t="shared" si="232"/>
        <v>#DIV/0!</v>
      </c>
      <c r="W346" s="427"/>
      <c r="X346" s="522"/>
      <c r="Y346" s="522"/>
    </row>
    <row r="347" spans="1:27" ht="22.5" customHeight="1" thickTop="1" thickBot="1" x14ac:dyDescent="0.3">
      <c r="A347" s="425">
        <v>1</v>
      </c>
      <c r="B347" s="505" t="s">
        <v>216</v>
      </c>
      <c r="C347" s="505" t="s">
        <v>227</v>
      </c>
      <c r="D347" s="505" t="s">
        <v>361</v>
      </c>
      <c r="E347" s="505" t="s">
        <v>220</v>
      </c>
      <c r="F347" s="505" t="s">
        <v>307</v>
      </c>
      <c r="G347" s="505"/>
      <c r="H347" s="505"/>
      <c r="I347" s="505"/>
      <c r="J347" s="505"/>
      <c r="K347" s="502" t="s">
        <v>574</v>
      </c>
      <c r="L347" s="427"/>
      <c r="M347" s="427"/>
      <c r="N347" s="427"/>
      <c r="O347" s="426">
        <f>+L347+M347-N347</f>
        <v>0</v>
      </c>
      <c r="P347" s="605"/>
      <c r="Q347" s="606"/>
      <c r="R347" s="607"/>
      <c r="S347" s="427"/>
      <c r="T347" s="427"/>
      <c r="U347" s="608"/>
      <c r="V347" s="737">
        <v>0</v>
      </c>
      <c r="W347" s="427"/>
      <c r="X347" s="522"/>
      <c r="Y347" s="522"/>
      <c r="Z347" s="738">
        <f t="shared" ref="Z347:Z348" si="234">SUBTOTAL(9,P347:S347)</f>
        <v>0</v>
      </c>
      <c r="AA347" s="739">
        <f t="shared" ref="AA347:AA348" si="235">+Z347-O347</f>
        <v>0</v>
      </c>
    </row>
    <row r="348" spans="1:27" ht="22.5" customHeight="1" thickTop="1" thickBot="1" x14ac:dyDescent="0.3">
      <c r="A348" s="425">
        <v>1</v>
      </c>
      <c r="B348" s="505" t="s">
        <v>216</v>
      </c>
      <c r="C348" s="505" t="s">
        <v>227</v>
      </c>
      <c r="D348" s="505" t="s">
        <v>361</v>
      </c>
      <c r="E348" s="505" t="s">
        <v>220</v>
      </c>
      <c r="F348" s="505" t="s">
        <v>332</v>
      </c>
      <c r="G348" s="505"/>
      <c r="H348" s="505"/>
      <c r="I348" s="505"/>
      <c r="J348" s="505"/>
      <c r="K348" s="502" t="s">
        <v>575</v>
      </c>
      <c r="L348" s="427"/>
      <c r="M348" s="427"/>
      <c r="N348" s="427"/>
      <c r="O348" s="426">
        <f>+L348+M348-N348</f>
        <v>0</v>
      </c>
      <c r="P348" s="605"/>
      <c r="Q348" s="606"/>
      <c r="R348" s="607"/>
      <c r="S348" s="427"/>
      <c r="T348" s="427"/>
      <c r="U348" s="608"/>
      <c r="V348" s="737">
        <v>0</v>
      </c>
      <c r="W348" s="427"/>
      <c r="X348" s="522"/>
      <c r="Y348" s="522"/>
      <c r="Z348" s="738">
        <f t="shared" si="234"/>
        <v>0</v>
      </c>
      <c r="AA348" s="739">
        <f t="shared" si="235"/>
        <v>0</v>
      </c>
    </row>
    <row r="349" spans="1:27" ht="22.5" customHeight="1" thickTop="1" thickBot="1" x14ac:dyDescent="0.3">
      <c r="A349" s="425">
        <v>1</v>
      </c>
      <c r="B349" s="505" t="s">
        <v>216</v>
      </c>
      <c r="C349" s="505" t="s">
        <v>227</v>
      </c>
      <c r="D349" s="505" t="s">
        <v>361</v>
      </c>
      <c r="E349" s="505" t="s">
        <v>220</v>
      </c>
      <c r="F349" s="505" t="s">
        <v>391</v>
      </c>
      <c r="G349" s="505"/>
      <c r="H349" s="505"/>
      <c r="I349" s="505"/>
      <c r="J349" s="505"/>
      <c r="K349" s="502" t="s">
        <v>576</v>
      </c>
      <c r="L349" s="427">
        <f>+L350+L351</f>
        <v>0</v>
      </c>
      <c r="M349" s="427">
        <f t="shared" ref="M349:U349" si="236">+M350+M351</f>
        <v>0</v>
      </c>
      <c r="N349" s="427">
        <f t="shared" si="236"/>
        <v>0</v>
      </c>
      <c r="O349" s="427">
        <f t="shared" si="236"/>
        <v>0</v>
      </c>
      <c r="P349" s="605">
        <f t="shared" si="236"/>
        <v>0</v>
      </c>
      <c r="Q349" s="606">
        <f t="shared" si="236"/>
        <v>0</v>
      </c>
      <c r="R349" s="607">
        <f t="shared" si="236"/>
        <v>0</v>
      </c>
      <c r="S349" s="427">
        <f t="shared" si="236"/>
        <v>0</v>
      </c>
      <c r="T349" s="427">
        <f t="shared" si="236"/>
        <v>0</v>
      </c>
      <c r="U349" s="608">
        <f t="shared" si="236"/>
        <v>0</v>
      </c>
      <c r="V349" s="427" t="e">
        <f t="shared" si="232"/>
        <v>#DIV/0!</v>
      </c>
      <c r="W349" s="427"/>
      <c r="X349" s="522"/>
      <c r="Y349" s="522"/>
    </row>
    <row r="350" spans="1:27" ht="22.5" customHeight="1" thickTop="1" thickBot="1" x14ac:dyDescent="0.3">
      <c r="A350" s="425">
        <v>1</v>
      </c>
      <c r="B350" s="505" t="s">
        <v>216</v>
      </c>
      <c r="C350" s="505" t="s">
        <v>227</v>
      </c>
      <c r="D350" s="505" t="s">
        <v>361</v>
      </c>
      <c r="E350" s="505" t="s">
        <v>220</v>
      </c>
      <c r="F350" s="505" t="s">
        <v>391</v>
      </c>
      <c r="G350" s="505" t="s">
        <v>220</v>
      </c>
      <c r="H350" s="505"/>
      <c r="I350" s="505"/>
      <c r="J350" s="505"/>
      <c r="K350" s="502" t="s">
        <v>577</v>
      </c>
      <c r="L350" s="427"/>
      <c r="M350" s="427"/>
      <c r="N350" s="427"/>
      <c r="O350" s="426">
        <f>+L350+M350-N350</f>
        <v>0</v>
      </c>
      <c r="P350" s="605"/>
      <c r="Q350" s="606"/>
      <c r="R350" s="607"/>
      <c r="S350" s="427"/>
      <c r="T350" s="427"/>
      <c r="U350" s="608"/>
      <c r="V350" s="737">
        <v>0</v>
      </c>
      <c r="W350" s="427"/>
      <c r="X350" s="522"/>
      <c r="Y350" s="522"/>
      <c r="Z350" s="738">
        <f t="shared" ref="Z350:Z351" si="237">SUBTOTAL(9,P350:S350)</f>
        <v>0</v>
      </c>
      <c r="AA350" s="739">
        <f t="shared" ref="AA350:AA351" si="238">+Z350-O350</f>
        <v>0</v>
      </c>
    </row>
    <row r="351" spans="1:27" ht="22.5" customHeight="1" thickTop="1" thickBot="1" x14ac:dyDescent="0.3">
      <c r="A351" s="425">
        <v>1</v>
      </c>
      <c r="B351" s="505" t="s">
        <v>216</v>
      </c>
      <c r="C351" s="505" t="s">
        <v>227</v>
      </c>
      <c r="D351" s="505" t="s">
        <v>361</v>
      </c>
      <c r="E351" s="505" t="s">
        <v>220</v>
      </c>
      <c r="F351" s="505" t="s">
        <v>391</v>
      </c>
      <c r="G351" s="505" t="s">
        <v>231</v>
      </c>
      <c r="H351" s="505"/>
      <c r="I351" s="505"/>
      <c r="J351" s="505"/>
      <c r="K351" s="502" t="s">
        <v>576</v>
      </c>
      <c r="L351" s="427"/>
      <c r="M351" s="427"/>
      <c r="N351" s="427"/>
      <c r="O351" s="426">
        <f>+L351+M351-N351</f>
        <v>0</v>
      </c>
      <c r="P351" s="605"/>
      <c r="Q351" s="606"/>
      <c r="R351" s="607"/>
      <c r="S351" s="427"/>
      <c r="T351" s="427"/>
      <c r="U351" s="608"/>
      <c r="V351" s="737">
        <v>0</v>
      </c>
      <c r="W351" s="427"/>
      <c r="X351" s="522"/>
      <c r="Y351" s="522"/>
      <c r="Z351" s="738">
        <f t="shared" si="237"/>
        <v>0</v>
      </c>
      <c r="AA351" s="739">
        <f t="shared" si="238"/>
        <v>0</v>
      </c>
    </row>
    <row r="352" spans="1:27" ht="22.5" customHeight="1" thickTop="1" thickBot="1" x14ac:dyDescent="0.3">
      <c r="A352" s="425">
        <v>1</v>
      </c>
      <c r="B352" s="505" t="s">
        <v>216</v>
      </c>
      <c r="C352" s="505" t="s">
        <v>227</v>
      </c>
      <c r="D352" s="505" t="s">
        <v>361</v>
      </c>
      <c r="E352" s="505" t="s">
        <v>220</v>
      </c>
      <c r="F352" s="505" t="s">
        <v>451</v>
      </c>
      <c r="G352" s="505"/>
      <c r="H352" s="505"/>
      <c r="I352" s="505"/>
      <c r="J352" s="505"/>
      <c r="K352" s="502" t="s">
        <v>578</v>
      </c>
      <c r="L352" s="427">
        <f>+L353+L354+L355</f>
        <v>0</v>
      </c>
      <c r="M352" s="427">
        <f t="shared" ref="M352:U352" si="239">+M353+M354+M355</f>
        <v>0</v>
      </c>
      <c r="N352" s="427">
        <f t="shared" si="239"/>
        <v>0</v>
      </c>
      <c r="O352" s="427">
        <f t="shared" si="239"/>
        <v>0</v>
      </c>
      <c r="P352" s="605">
        <f t="shared" si="239"/>
        <v>0</v>
      </c>
      <c r="Q352" s="606">
        <f t="shared" si="239"/>
        <v>0</v>
      </c>
      <c r="R352" s="607">
        <f t="shared" si="239"/>
        <v>0</v>
      </c>
      <c r="S352" s="427">
        <f t="shared" si="239"/>
        <v>0</v>
      </c>
      <c r="T352" s="427">
        <f t="shared" si="239"/>
        <v>0</v>
      </c>
      <c r="U352" s="608">
        <f t="shared" si="239"/>
        <v>0</v>
      </c>
      <c r="V352" s="427" t="e">
        <f t="shared" si="232"/>
        <v>#DIV/0!</v>
      </c>
      <c r="W352" s="427"/>
      <c r="X352" s="522"/>
      <c r="Y352" s="522"/>
    </row>
    <row r="353" spans="1:27" ht="22.5" customHeight="1" thickTop="1" thickBot="1" x14ac:dyDescent="0.3">
      <c r="A353" s="425">
        <v>1</v>
      </c>
      <c r="B353" s="505" t="s">
        <v>216</v>
      </c>
      <c r="C353" s="505" t="s">
        <v>227</v>
      </c>
      <c r="D353" s="505" t="s">
        <v>361</v>
      </c>
      <c r="E353" s="505" t="s">
        <v>220</v>
      </c>
      <c r="F353" s="505" t="s">
        <v>451</v>
      </c>
      <c r="G353" s="505" t="s">
        <v>220</v>
      </c>
      <c r="H353" s="505"/>
      <c r="I353" s="505"/>
      <c r="J353" s="505"/>
      <c r="K353" s="502" t="s">
        <v>579</v>
      </c>
      <c r="L353" s="427"/>
      <c r="M353" s="427"/>
      <c r="N353" s="427"/>
      <c r="O353" s="426">
        <f>+L353+M353-N353</f>
        <v>0</v>
      </c>
      <c r="P353" s="605"/>
      <c r="Q353" s="606"/>
      <c r="R353" s="607"/>
      <c r="S353" s="427"/>
      <c r="T353" s="427"/>
      <c r="U353" s="608"/>
      <c r="V353" s="737">
        <v>0</v>
      </c>
      <c r="W353" s="427"/>
      <c r="X353" s="522"/>
      <c r="Y353" s="522"/>
      <c r="Z353" s="738">
        <f t="shared" ref="Z353:Z355" si="240">SUBTOTAL(9,P353:S353)</f>
        <v>0</v>
      </c>
      <c r="AA353" s="739">
        <f t="shared" ref="AA353:AA355" si="241">+Z353-O353</f>
        <v>0</v>
      </c>
    </row>
    <row r="354" spans="1:27" ht="22.5" customHeight="1" thickTop="1" thickBot="1" x14ac:dyDescent="0.3">
      <c r="A354" s="425">
        <v>1</v>
      </c>
      <c r="B354" s="505" t="s">
        <v>216</v>
      </c>
      <c r="C354" s="505" t="s">
        <v>227</v>
      </c>
      <c r="D354" s="505" t="s">
        <v>361</v>
      </c>
      <c r="E354" s="505" t="s">
        <v>220</v>
      </c>
      <c r="F354" s="505" t="s">
        <v>451</v>
      </c>
      <c r="G354" s="505" t="s">
        <v>231</v>
      </c>
      <c r="H354" s="505"/>
      <c r="I354" s="505"/>
      <c r="J354" s="505"/>
      <c r="K354" s="502" t="s">
        <v>580</v>
      </c>
      <c r="L354" s="427"/>
      <c r="M354" s="427"/>
      <c r="N354" s="427"/>
      <c r="O354" s="426">
        <f>+L354+M354-N354</f>
        <v>0</v>
      </c>
      <c r="P354" s="605"/>
      <c r="Q354" s="606"/>
      <c r="R354" s="607"/>
      <c r="S354" s="427"/>
      <c r="T354" s="427"/>
      <c r="U354" s="608"/>
      <c r="V354" s="737">
        <v>0</v>
      </c>
      <c r="W354" s="427"/>
      <c r="X354" s="522"/>
      <c r="Y354" s="522"/>
      <c r="Z354" s="738">
        <f t="shared" si="240"/>
        <v>0</v>
      </c>
      <c r="AA354" s="739">
        <f t="shared" si="241"/>
        <v>0</v>
      </c>
    </row>
    <row r="355" spans="1:27" ht="22.5" customHeight="1" thickTop="1" thickBot="1" x14ac:dyDescent="0.3">
      <c r="A355" s="425">
        <v>1</v>
      </c>
      <c r="B355" s="505" t="s">
        <v>216</v>
      </c>
      <c r="C355" s="505" t="s">
        <v>227</v>
      </c>
      <c r="D355" s="505" t="s">
        <v>361</v>
      </c>
      <c r="E355" s="505" t="s">
        <v>220</v>
      </c>
      <c r="F355" s="505" t="s">
        <v>451</v>
      </c>
      <c r="G355" s="505" t="s">
        <v>305</v>
      </c>
      <c r="H355" s="505"/>
      <c r="I355" s="505"/>
      <c r="J355" s="505"/>
      <c r="K355" s="502" t="s">
        <v>581</v>
      </c>
      <c r="L355" s="427"/>
      <c r="M355" s="427"/>
      <c r="N355" s="427"/>
      <c r="O355" s="426">
        <f>+L355+M355-N355</f>
        <v>0</v>
      </c>
      <c r="P355" s="605"/>
      <c r="Q355" s="606"/>
      <c r="R355" s="607"/>
      <c r="S355" s="427"/>
      <c r="T355" s="427"/>
      <c r="U355" s="608"/>
      <c r="V355" s="737">
        <v>0</v>
      </c>
      <c r="W355" s="427"/>
      <c r="X355" s="522"/>
      <c r="Y355" s="522"/>
      <c r="Z355" s="738">
        <f t="shared" si="240"/>
        <v>0</v>
      </c>
      <c r="AA355" s="739">
        <f t="shared" si="241"/>
        <v>0</v>
      </c>
    </row>
    <row r="356" spans="1:27" ht="22.5" customHeight="1" thickTop="1" thickBot="1" x14ac:dyDescent="0.3">
      <c r="A356" s="425">
        <v>1</v>
      </c>
      <c r="B356" s="505" t="s">
        <v>216</v>
      </c>
      <c r="C356" s="505" t="s">
        <v>227</v>
      </c>
      <c r="D356" s="505" t="s">
        <v>361</v>
      </c>
      <c r="E356" s="505" t="s">
        <v>220</v>
      </c>
      <c r="F356" s="505" t="s">
        <v>582</v>
      </c>
      <c r="G356" s="505"/>
      <c r="H356" s="505"/>
      <c r="I356" s="505"/>
      <c r="J356" s="505"/>
      <c r="K356" s="502" t="s">
        <v>583</v>
      </c>
      <c r="L356" s="427">
        <f>+L357+L358+L359</f>
        <v>0</v>
      </c>
      <c r="M356" s="427">
        <f t="shared" ref="M356:U356" si="242">+M357+M358+M359</f>
        <v>0</v>
      </c>
      <c r="N356" s="427">
        <f t="shared" si="242"/>
        <v>0</v>
      </c>
      <c r="O356" s="427">
        <f t="shared" si="242"/>
        <v>0</v>
      </c>
      <c r="P356" s="605">
        <f t="shared" si="242"/>
        <v>0</v>
      </c>
      <c r="Q356" s="606">
        <f t="shared" si="242"/>
        <v>0</v>
      </c>
      <c r="R356" s="607">
        <f t="shared" si="242"/>
        <v>0</v>
      </c>
      <c r="S356" s="427">
        <f t="shared" si="242"/>
        <v>0</v>
      </c>
      <c r="T356" s="427">
        <f t="shared" si="242"/>
        <v>0</v>
      </c>
      <c r="U356" s="608">
        <f t="shared" si="242"/>
        <v>0</v>
      </c>
      <c r="V356" s="427" t="e">
        <f t="shared" si="232"/>
        <v>#DIV/0!</v>
      </c>
      <c r="W356" s="427"/>
      <c r="X356" s="522"/>
      <c r="Y356" s="522"/>
    </row>
    <row r="357" spans="1:27" ht="22.5" customHeight="1" thickTop="1" thickBot="1" x14ac:dyDescent="0.3">
      <c r="A357" s="425">
        <v>1</v>
      </c>
      <c r="B357" s="505" t="s">
        <v>216</v>
      </c>
      <c r="C357" s="505" t="s">
        <v>227</v>
      </c>
      <c r="D357" s="505" t="s">
        <v>361</v>
      </c>
      <c r="E357" s="505" t="s">
        <v>220</v>
      </c>
      <c r="F357" s="505" t="s">
        <v>582</v>
      </c>
      <c r="G357" s="505" t="s">
        <v>220</v>
      </c>
      <c r="H357" s="505"/>
      <c r="I357" s="505"/>
      <c r="J357" s="505"/>
      <c r="K357" s="502" t="s">
        <v>584</v>
      </c>
      <c r="L357" s="427"/>
      <c r="M357" s="427"/>
      <c r="N357" s="427"/>
      <c r="O357" s="426">
        <f>+L357+M357-N357</f>
        <v>0</v>
      </c>
      <c r="P357" s="605"/>
      <c r="Q357" s="606"/>
      <c r="R357" s="607"/>
      <c r="S357" s="427"/>
      <c r="T357" s="427"/>
      <c r="U357" s="608"/>
      <c r="V357" s="737">
        <v>0</v>
      </c>
      <c r="W357" s="427"/>
      <c r="X357" s="522"/>
      <c r="Y357" s="522"/>
      <c r="Z357" s="738">
        <f t="shared" ref="Z357:Z359" si="243">SUBTOTAL(9,P357:S357)</f>
        <v>0</v>
      </c>
      <c r="AA357" s="739">
        <f t="shared" ref="AA357:AA359" si="244">+Z357-O357</f>
        <v>0</v>
      </c>
    </row>
    <row r="358" spans="1:27" ht="22.5" customHeight="1" thickTop="1" thickBot="1" x14ac:dyDescent="0.3">
      <c r="A358" s="425">
        <v>1</v>
      </c>
      <c r="B358" s="505" t="s">
        <v>216</v>
      </c>
      <c r="C358" s="505" t="s">
        <v>227</v>
      </c>
      <c r="D358" s="505" t="s">
        <v>361</v>
      </c>
      <c r="E358" s="505" t="s">
        <v>220</v>
      </c>
      <c r="F358" s="505" t="s">
        <v>582</v>
      </c>
      <c r="G358" s="505" t="s">
        <v>231</v>
      </c>
      <c r="H358" s="505"/>
      <c r="I358" s="505"/>
      <c r="J358" s="505"/>
      <c r="K358" s="502" t="s">
        <v>585</v>
      </c>
      <c r="L358" s="427"/>
      <c r="M358" s="427"/>
      <c r="N358" s="427"/>
      <c r="O358" s="426">
        <f>+L358+M358-N358</f>
        <v>0</v>
      </c>
      <c r="P358" s="605"/>
      <c r="Q358" s="606"/>
      <c r="R358" s="607"/>
      <c r="S358" s="427"/>
      <c r="T358" s="427"/>
      <c r="U358" s="608"/>
      <c r="V358" s="737">
        <v>0</v>
      </c>
      <c r="W358" s="427"/>
      <c r="X358" s="522"/>
      <c r="Y358" s="522"/>
      <c r="Z358" s="738">
        <f t="shared" si="243"/>
        <v>0</v>
      </c>
      <c r="AA358" s="739">
        <f t="shared" si="244"/>
        <v>0</v>
      </c>
    </row>
    <row r="359" spans="1:27" ht="22.5" customHeight="1" thickTop="1" thickBot="1" x14ac:dyDescent="0.3">
      <c r="A359" s="425">
        <v>1</v>
      </c>
      <c r="B359" s="505" t="s">
        <v>216</v>
      </c>
      <c r="C359" s="505" t="s">
        <v>227</v>
      </c>
      <c r="D359" s="505" t="s">
        <v>361</v>
      </c>
      <c r="E359" s="505" t="s">
        <v>220</v>
      </c>
      <c r="F359" s="505" t="s">
        <v>582</v>
      </c>
      <c r="G359" s="505" t="s">
        <v>305</v>
      </c>
      <c r="H359" s="505"/>
      <c r="I359" s="505"/>
      <c r="J359" s="505"/>
      <c r="K359" s="502" t="s">
        <v>586</v>
      </c>
      <c r="L359" s="427"/>
      <c r="M359" s="427"/>
      <c r="N359" s="427"/>
      <c r="O359" s="426">
        <f>+L359+M359-N359</f>
        <v>0</v>
      </c>
      <c r="P359" s="605"/>
      <c r="Q359" s="606"/>
      <c r="R359" s="607"/>
      <c r="S359" s="427"/>
      <c r="T359" s="427"/>
      <c r="U359" s="608"/>
      <c r="V359" s="737">
        <v>0</v>
      </c>
      <c r="W359" s="427"/>
      <c r="X359" s="522"/>
      <c r="Y359" s="522"/>
      <c r="Z359" s="738">
        <f t="shared" si="243"/>
        <v>0</v>
      </c>
      <c r="AA359" s="739">
        <f t="shared" si="244"/>
        <v>0</v>
      </c>
    </row>
    <row r="360" spans="1:27" ht="22.5" customHeight="1" thickTop="1" thickBot="1" x14ac:dyDescent="0.3">
      <c r="A360" s="425">
        <v>1</v>
      </c>
      <c r="B360" s="505" t="s">
        <v>216</v>
      </c>
      <c r="C360" s="505" t="s">
        <v>227</v>
      </c>
      <c r="D360" s="505" t="s">
        <v>361</v>
      </c>
      <c r="E360" s="505" t="s">
        <v>231</v>
      </c>
      <c r="F360" s="505"/>
      <c r="G360" s="505"/>
      <c r="H360" s="505"/>
      <c r="I360" s="505"/>
      <c r="J360" s="505"/>
      <c r="K360" s="502" t="s">
        <v>587</v>
      </c>
      <c r="L360" s="427">
        <f>+L361</f>
        <v>0</v>
      </c>
      <c r="M360" s="427">
        <f t="shared" ref="M360:U360" si="245">+M361</f>
        <v>0</v>
      </c>
      <c r="N360" s="427">
        <f t="shared" si="245"/>
        <v>0</v>
      </c>
      <c r="O360" s="427">
        <f t="shared" si="245"/>
        <v>0</v>
      </c>
      <c r="P360" s="605">
        <f t="shared" si="245"/>
        <v>0</v>
      </c>
      <c r="Q360" s="606">
        <f t="shared" si="245"/>
        <v>0</v>
      </c>
      <c r="R360" s="607">
        <f t="shared" si="245"/>
        <v>0</v>
      </c>
      <c r="S360" s="427">
        <f t="shared" si="245"/>
        <v>0</v>
      </c>
      <c r="T360" s="427">
        <f t="shared" si="245"/>
        <v>0</v>
      </c>
      <c r="U360" s="608">
        <f t="shared" si="245"/>
        <v>0</v>
      </c>
      <c r="V360" s="427" t="e">
        <f t="shared" si="232"/>
        <v>#DIV/0!</v>
      </c>
      <c r="W360" s="427"/>
      <c r="X360" s="522"/>
      <c r="Y360" s="522"/>
    </row>
    <row r="361" spans="1:27" ht="22.5" customHeight="1" thickTop="1" thickBot="1" x14ac:dyDescent="0.3">
      <c r="A361" s="425">
        <v>1</v>
      </c>
      <c r="B361" s="505" t="s">
        <v>216</v>
      </c>
      <c r="C361" s="505" t="s">
        <v>227</v>
      </c>
      <c r="D361" s="505" t="s">
        <v>361</v>
      </c>
      <c r="E361" s="505" t="s">
        <v>231</v>
      </c>
      <c r="F361" s="505" t="s">
        <v>307</v>
      </c>
      <c r="G361" s="505"/>
      <c r="H361" s="505"/>
      <c r="I361" s="505"/>
      <c r="J361" s="505"/>
      <c r="K361" s="502" t="s">
        <v>588</v>
      </c>
      <c r="L361" s="427"/>
      <c r="M361" s="427"/>
      <c r="N361" s="427"/>
      <c r="O361" s="426">
        <f>+L361+M361-N361</f>
        <v>0</v>
      </c>
      <c r="P361" s="605"/>
      <c r="Q361" s="606"/>
      <c r="R361" s="607"/>
      <c r="S361" s="427"/>
      <c r="T361" s="427"/>
      <c r="U361" s="608"/>
      <c r="V361" s="737">
        <v>0</v>
      </c>
      <c r="W361" s="427"/>
      <c r="X361" s="522"/>
      <c r="Y361" s="522"/>
      <c r="Z361" s="738">
        <f t="shared" ref="Z361:Z362" si="246">SUBTOTAL(9,P361:S361)</f>
        <v>0</v>
      </c>
      <c r="AA361" s="739">
        <f t="shared" ref="AA361:AA362" si="247">+Z361-O361</f>
        <v>0</v>
      </c>
    </row>
    <row r="362" spans="1:27" ht="22.5" customHeight="1" thickTop="1" thickBot="1" x14ac:dyDescent="0.3">
      <c r="A362" s="425">
        <v>1</v>
      </c>
      <c r="B362" s="505" t="s">
        <v>216</v>
      </c>
      <c r="C362" s="505" t="s">
        <v>227</v>
      </c>
      <c r="D362" s="505" t="s">
        <v>361</v>
      </c>
      <c r="E362" s="505" t="s">
        <v>305</v>
      </c>
      <c r="F362" s="505"/>
      <c r="G362" s="505"/>
      <c r="H362" s="505"/>
      <c r="I362" s="505"/>
      <c r="J362" s="505"/>
      <c r="K362" s="502" t="s">
        <v>589</v>
      </c>
      <c r="L362" s="427"/>
      <c r="M362" s="427"/>
      <c r="N362" s="427"/>
      <c r="O362" s="426">
        <f>+L362+M362-N362</f>
        <v>0</v>
      </c>
      <c r="P362" s="605"/>
      <c r="Q362" s="606"/>
      <c r="R362" s="607"/>
      <c r="S362" s="427"/>
      <c r="T362" s="427"/>
      <c r="U362" s="608"/>
      <c r="V362" s="737">
        <v>0</v>
      </c>
      <c r="W362" s="427"/>
      <c r="X362" s="522"/>
      <c r="Y362" s="522"/>
      <c r="Z362" s="738">
        <f t="shared" si="246"/>
        <v>0</v>
      </c>
      <c r="AA362" s="739">
        <f t="shared" si="247"/>
        <v>0</v>
      </c>
    </row>
    <row r="363" spans="1:27" ht="22.5" customHeight="1" thickTop="1" thickBot="1" x14ac:dyDescent="0.3">
      <c r="A363" s="425">
        <v>1</v>
      </c>
      <c r="B363" s="505" t="s">
        <v>216</v>
      </c>
      <c r="C363" s="505" t="s">
        <v>227</v>
      </c>
      <c r="D363" s="505" t="s">
        <v>366</v>
      </c>
      <c r="E363" s="505"/>
      <c r="F363" s="505"/>
      <c r="G363" s="505"/>
      <c r="H363" s="505"/>
      <c r="I363" s="505"/>
      <c r="J363" s="505"/>
      <c r="K363" s="502" t="s">
        <v>590</v>
      </c>
      <c r="L363" s="427">
        <f>+L364+L370+L377</f>
        <v>0</v>
      </c>
      <c r="M363" s="427">
        <f t="shared" ref="M363:U363" si="248">+M364+M370+M377</f>
        <v>0</v>
      </c>
      <c r="N363" s="427">
        <f t="shared" si="248"/>
        <v>0</v>
      </c>
      <c r="O363" s="427">
        <f t="shared" si="248"/>
        <v>0</v>
      </c>
      <c r="P363" s="605">
        <f t="shared" si="248"/>
        <v>0</v>
      </c>
      <c r="Q363" s="606">
        <f t="shared" si="248"/>
        <v>0</v>
      </c>
      <c r="R363" s="607">
        <f t="shared" si="248"/>
        <v>0</v>
      </c>
      <c r="S363" s="427">
        <f t="shared" si="248"/>
        <v>0</v>
      </c>
      <c r="T363" s="427">
        <f t="shared" si="248"/>
        <v>0</v>
      </c>
      <c r="U363" s="608">
        <f t="shared" si="248"/>
        <v>0</v>
      </c>
      <c r="V363" s="427" t="e">
        <f t="shared" si="232"/>
        <v>#DIV/0!</v>
      </c>
      <c r="W363" s="427"/>
      <c r="X363" s="522"/>
      <c r="Y363" s="522"/>
    </row>
    <row r="364" spans="1:27" ht="22.5" customHeight="1" thickTop="1" thickBot="1" x14ac:dyDescent="0.3">
      <c r="A364" s="425">
        <v>1</v>
      </c>
      <c r="B364" s="505" t="s">
        <v>216</v>
      </c>
      <c r="C364" s="505" t="s">
        <v>227</v>
      </c>
      <c r="D364" s="505" t="s">
        <v>366</v>
      </c>
      <c r="E364" s="505" t="s">
        <v>220</v>
      </c>
      <c r="F364" s="505"/>
      <c r="G364" s="505"/>
      <c r="H364" s="505"/>
      <c r="I364" s="505"/>
      <c r="J364" s="505"/>
      <c r="K364" s="502" t="s">
        <v>591</v>
      </c>
      <c r="L364" s="427">
        <f>+L365+L366+L367+L368+L369</f>
        <v>0</v>
      </c>
      <c r="M364" s="427">
        <f t="shared" ref="M364:U364" si="249">+M365+M366+M367+M368+M369</f>
        <v>0</v>
      </c>
      <c r="N364" s="427">
        <f t="shared" si="249"/>
        <v>0</v>
      </c>
      <c r="O364" s="427">
        <f t="shared" si="249"/>
        <v>0</v>
      </c>
      <c r="P364" s="605">
        <f t="shared" si="249"/>
        <v>0</v>
      </c>
      <c r="Q364" s="606">
        <f t="shared" si="249"/>
        <v>0</v>
      </c>
      <c r="R364" s="607">
        <f t="shared" si="249"/>
        <v>0</v>
      </c>
      <c r="S364" s="427">
        <f t="shared" si="249"/>
        <v>0</v>
      </c>
      <c r="T364" s="427">
        <f t="shared" si="249"/>
        <v>0</v>
      </c>
      <c r="U364" s="608">
        <f t="shared" si="249"/>
        <v>0</v>
      </c>
      <c r="V364" s="427" t="e">
        <f t="shared" si="232"/>
        <v>#DIV/0!</v>
      </c>
      <c r="W364" s="427"/>
      <c r="X364" s="522"/>
      <c r="Y364" s="522"/>
    </row>
    <row r="365" spans="1:27" ht="22.5" customHeight="1" thickTop="1" thickBot="1" x14ac:dyDescent="0.3">
      <c r="A365" s="425">
        <v>1</v>
      </c>
      <c r="B365" s="505" t="s">
        <v>216</v>
      </c>
      <c r="C365" s="505" t="s">
        <v>227</v>
      </c>
      <c r="D365" s="505" t="s">
        <v>366</v>
      </c>
      <c r="E365" s="505" t="s">
        <v>220</v>
      </c>
      <c r="F365" s="505" t="s">
        <v>307</v>
      </c>
      <c r="G365" s="505"/>
      <c r="H365" s="505"/>
      <c r="I365" s="505"/>
      <c r="J365" s="505"/>
      <c r="K365" s="502" t="s">
        <v>592</v>
      </c>
      <c r="L365" s="427"/>
      <c r="M365" s="427"/>
      <c r="N365" s="427"/>
      <c r="O365" s="426">
        <f>+L365+M365-N365</f>
        <v>0</v>
      </c>
      <c r="P365" s="605"/>
      <c r="Q365" s="606"/>
      <c r="R365" s="607"/>
      <c r="S365" s="427"/>
      <c r="T365" s="427"/>
      <c r="U365" s="608"/>
      <c r="V365" s="737">
        <v>0</v>
      </c>
      <c r="W365" s="427"/>
      <c r="X365" s="522"/>
      <c r="Y365" s="522"/>
      <c r="Z365" s="738">
        <f t="shared" ref="Z365:Z369" si="250">SUBTOTAL(9,P365:S365)</f>
        <v>0</v>
      </c>
      <c r="AA365" s="739">
        <f t="shared" ref="AA365:AA369" si="251">+Z365-O365</f>
        <v>0</v>
      </c>
    </row>
    <row r="366" spans="1:27" ht="22.5" customHeight="1" thickTop="1" thickBot="1" x14ac:dyDescent="0.3">
      <c r="A366" s="425">
        <v>1</v>
      </c>
      <c r="B366" s="505" t="s">
        <v>216</v>
      </c>
      <c r="C366" s="505" t="s">
        <v>227</v>
      </c>
      <c r="D366" s="505" t="s">
        <v>366</v>
      </c>
      <c r="E366" s="505" t="s">
        <v>220</v>
      </c>
      <c r="F366" s="505" t="s">
        <v>332</v>
      </c>
      <c r="G366" s="505"/>
      <c r="H366" s="505"/>
      <c r="I366" s="505"/>
      <c r="J366" s="505"/>
      <c r="K366" s="502" t="s">
        <v>593</v>
      </c>
      <c r="L366" s="427"/>
      <c r="M366" s="427"/>
      <c r="N366" s="427"/>
      <c r="O366" s="426">
        <f>+L366+M366-N366</f>
        <v>0</v>
      </c>
      <c r="P366" s="605"/>
      <c r="Q366" s="606"/>
      <c r="R366" s="607"/>
      <c r="S366" s="427"/>
      <c r="T366" s="427"/>
      <c r="U366" s="608"/>
      <c r="V366" s="737">
        <v>0</v>
      </c>
      <c r="W366" s="427"/>
      <c r="X366" s="522"/>
      <c r="Y366" s="522"/>
      <c r="Z366" s="738">
        <f t="shared" si="250"/>
        <v>0</v>
      </c>
      <c r="AA366" s="739">
        <f t="shared" si="251"/>
        <v>0</v>
      </c>
    </row>
    <row r="367" spans="1:27" ht="22.5" customHeight="1" thickTop="1" thickBot="1" x14ac:dyDescent="0.3">
      <c r="A367" s="425">
        <v>1</v>
      </c>
      <c r="B367" s="505" t="s">
        <v>216</v>
      </c>
      <c r="C367" s="505" t="s">
        <v>227</v>
      </c>
      <c r="D367" s="505" t="s">
        <v>366</v>
      </c>
      <c r="E367" s="505" t="s">
        <v>220</v>
      </c>
      <c r="F367" s="505" t="s">
        <v>391</v>
      </c>
      <c r="G367" s="505"/>
      <c r="H367" s="505"/>
      <c r="I367" s="505"/>
      <c r="J367" s="505"/>
      <c r="K367" s="502" t="s">
        <v>594</v>
      </c>
      <c r="L367" s="427"/>
      <c r="M367" s="427"/>
      <c r="N367" s="427"/>
      <c r="O367" s="426">
        <f>+L367+M367-N367</f>
        <v>0</v>
      </c>
      <c r="P367" s="605"/>
      <c r="Q367" s="606"/>
      <c r="R367" s="607"/>
      <c r="S367" s="427"/>
      <c r="T367" s="427"/>
      <c r="U367" s="608"/>
      <c r="V367" s="737">
        <v>0</v>
      </c>
      <c r="W367" s="427"/>
      <c r="X367" s="522"/>
      <c r="Y367" s="522"/>
      <c r="Z367" s="738">
        <f t="shared" si="250"/>
        <v>0</v>
      </c>
      <c r="AA367" s="739">
        <f t="shared" si="251"/>
        <v>0</v>
      </c>
    </row>
    <row r="368" spans="1:27" ht="22.5" customHeight="1" thickTop="1" thickBot="1" x14ac:dyDescent="0.3">
      <c r="A368" s="425">
        <v>1</v>
      </c>
      <c r="B368" s="505" t="s">
        <v>216</v>
      </c>
      <c r="C368" s="505" t="s">
        <v>227</v>
      </c>
      <c r="D368" s="505" t="s">
        <v>366</v>
      </c>
      <c r="E368" s="505" t="s">
        <v>220</v>
      </c>
      <c r="F368" s="505" t="s">
        <v>595</v>
      </c>
      <c r="G368" s="505"/>
      <c r="H368" s="505"/>
      <c r="I368" s="505"/>
      <c r="J368" s="505"/>
      <c r="K368" s="502" t="s">
        <v>583</v>
      </c>
      <c r="L368" s="427"/>
      <c r="M368" s="427"/>
      <c r="N368" s="427"/>
      <c r="O368" s="426">
        <f>+L368+M368-N368</f>
        <v>0</v>
      </c>
      <c r="P368" s="605"/>
      <c r="Q368" s="606"/>
      <c r="R368" s="607"/>
      <c r="S368" s="427"/>
      <c r="T368" s="427"/>
      <c r="U368" s="608"/>
      <c r="V368" s="737">
        <v>0</v>
      </c>
      <c r="W368" s="427"/>
      <c r="X368" s="522"/>
      <c r="Y368" s="522"/>
      <c r="Z368" s="738">
        <f t="shared" si="250"/>
        <v>0</v>
      </c>
      <c r="AA368" s="739">
        <f t="shared" si="251"/>
        <v>0</v>
      </c>
    </row>
    <row r="369" spans="1:27" ht="22.5" customHeight="1" thickTop="1" thickBot="1" x14ac:dyDescent="0.3">
      <c r="A369" s="425">
        <v>1</v>
      </c>
      <c r="B369" s="505" t="s">
        <v>216</v>
      </c>
      <c r="C369" s="505" t="s">
        <v>227</v>
      </c>
      <c r="D369" s="505" t="s">
        <v>366</v>
      </c>
      <c r="E369" s="505" t="s">
        <v>220</v>
      </c>
      <c r="F369" s="505" t="s">
        <v>596</v>
      </c>
      <c r="G369" s="505"/>
      <c r="H369" s="505"/>
      <c r="I369" s="505"/>
      <c r="J369" s="505"/>
      <c r="K369" s="502" t="s">
        <v>597</v>
      </c>
      <c r="L369" s="427"/>
      <c r="M369" s="427"/>
      <c r="N369" s="427"/>
      <c r="O369" s="426">
        <f>+L369+M369-N369</f>
        <v>0</v>
      </c>
      <c r="P369" s="605"/>
      <c r="Q369" s="606"/>
      <c r="R369" s="607"/>
      <c r="S369" s="427"/>
      <c r="T369" s="427"/>
      <c r="U369" s="608"/>
      <c r="V369" s="737">
        <v>0</v>
      </c>
      <c r="W369" s="427"/>
      <c r="X369" s="522"/>
      <c r="Y369" s="522"/>
      <c r="Z369" s="738">
        <f t="shared" si="250"/>
        <v>0</v>
      </c>
      <c r="AA369" s="739">
        <f t="shared" si="251"/>
        <v>0</v>
      </c>
    </row>
    <row r="370" spans="1:27" ht="22.5" customHeight="1" thickTop="1" thickBot="1" x14ac:dyDescent="0.3">
      <c r="A370" s="425">
        <v>1</v>
      </c>
      <c r="B370" s="505" t="s">
        <v>216</v>
      </c>
      <c r="C370" s="505" t="s">
        <v>227</v>
      </c>
      <c r="D370" s="505" t="s">
        <v>366</v>
      </c>
      <c r="E370" s="505" t="s">
        <v>231</v>
      </c>
      <c r="F370" s="505"/>
      <c r="G370" s="505"/>
      <c r="H370" s="505"/>
      <c r="I370" s="505"/>
      <c r="J370" s="505"/>
      <c r="K370" s="502" t="s">
        <v>587</v>
      </c>
      <c r="L370" s="427">
        <f>+L371+L376</f>
        <v>0</v>
      </c>
      <c r="M370" s="427">
        <f t="shared" ref="M370:U370" si="252">+M371+M376</f>
        <v>0</v>
      </c>
      <c r="N370" s="427">
        <f t="shared" si="252"/>
        <v>0</v>
      </c>
      <c r="O370" s="427">
        <f t="shared" si="252"/>
        <v>0</v>
      </c>
      <c r="P370" s="605">
        <f t="shared" si="252"/>
        <v>0</v>
      </c>
      <c r="Q370" s="606">
        <f t="shared" si="252"/>
        <v>0</v>
      </c>
      <c r="R370" s="607">
        <f t="shared" si="252"/>
        <v>0</v>
      </c>
      <c r="S370" s="427">
        <f t="shared" si="252"/>
        <v>0</v>
      </c>
      <c r="T370" s="427">
        <f t="shared" si="252"/>
        <v>0</v>
      </c>
      <c r="U370" s="608">
        <f t="shared" si="252"/>
        <v>0</v>
      </c>
      <c r="V370" s="427" t="e">
        <f t="shared" si="232"/>
        <v>#DIV/0!</v>
      </c>
      <c r="W370" s="427"/>
      <c r="X370" s="522"/>
      <c r="Y370" s="522"/>
    </row>
    <row r="371" spans="1:27" ht="16.5" thickTop="1" thickBot="1" x14ac:dyDescent="0.3">
      <c r="A371" s="425">
        <v>1</v>
      </c>
      <c r="B371" s="505" t="s">
        <v>216</v>
      </c>
      <c r="C371" s="505" t="s">
        <v>227</v>
      </c>
      <c r="D371" s="505" t="s">
        <v>366</v>
      </c>
      <c r="E371" s="505" t="s">
        <v>231</v>
      </c>
      <c r="F371" s="505" t="s">
        <v>307</v>
      </c>
      <c r="G371" s="505"/>
      <c r="H371" s="505"/>
      <c r="I371" s="505"/>
      <c r="J371" s="505"/>
      <c r="K371" s="502" t="s">
        <v>598</v>
      </c>
      <c r="L371" s="427">
        <f>+L372+L373+L374+L375</f>
        <v>0</v>
      </c>
      <c r="M371" s="427">
        <f t="shared" ref="M371:U371" si="253">+M372+M373+M374+M375</f>
        <v>0</v>
      </c>
      <c r="N371" s="427">
        <f t="shared" si="253"/>
        <v>0</v>
      </c>
      <c r="O371" s="427">
        <f t="shared" si="253"/>
        <v>0</v>
      </c>
      <c r="P371" s="605">
        <f t="shared" si="253"/>
        <v>0</v>
      </c>
      <c r="Q371" s="606">
        <f t="shared" si="253"/>
        <v>0</v>
      </c>
      <c r="R371" s="607">
        <f t="shared" si="253"/>
        <v>0</v>
      </c>
      <c r="S371" s="427">
        <f t="shared" si="253"/>
        <v>0</v>
      </c>
      <c r="T371" s="427">
        <f t="shared" si="253"/>
        <v>0</v>
      </c>
      <c r="U371" s="608">
        <f t="shared" si="253"/>
        <v>0</v>
      </c>
      <c r="V371" s="427" t="e">
        <f t="shared" si="232"/>
        <v>#DIV/0!</v>
      </c>
      <c r="W371" s="427"/>
      <c r="X371" s="522"/>
      <c r="Y371" s="522"/>
    </row>
    <row r="372" spans="1:27" ht="22.5" customHeight="1" thickTop="1" thickBot="1" x14ac:dyDescent="0.3">
      <c r="A372" s="425">
        <v>1</v>
      </c>
      <c r="B372" s="505" t="s">
        <v>216</v>
      </c>
      <c r="C372" s="505" t="s">
        <v>227</v>
      </c>
      <c r="D372" s="505" t="s">
        <v>366</v>
      </c>
      <c r="E372" s="505" t="s">
        <v>231</v>
      </c>
      <c r="F372" s="505" t="s">
        <v>307</v>
      </c>
      <c r="G372" s="505" t="s">
        <v>220</v>
      </c>
      <c r="H372" s="505"/>
      <c r="I372" s="505"/>
      <c r="J372" s="505"/>
      <c r="K372" s="502" t="s">
        <v>599</v>
      </c>
      <c r="L372" s="427"/>
      <c r="M372" s="427"/>
      <c r="N372" s="427"/>
      <c r="O372" s="426">
        <f t="shared" ref="O372:O377" si="254">+L372+M372-N372</f>
        <v>0</v>
      </c>
      <c r="P372" s="605"/>
      <c r="Q372" s="606"/>
      <c r="R372" s="607"/>
      <c r="S372" s="427"/>
      <c r="T372" s="427"/>
      <c r="U372" s="608"/>
      <c r="V372" s="737">
        <v>0</v>
      </c>
      <c r="W372" s="427"/>
      <c r="X372" s="522"/>
      <c r="Y372" s="522"/>
      <c r="Z372" s="738">
        <f t="shared" ref="Z372:Z377" si="255">SUBTOTAL(9,P372:S372)</f>
        <v>0</v>
      </c>
      <c r="AA372" s="739">
        <f t="shared" ref="AA372:AA377" si="256">+Z372-O372</f>
        <v>0</v>
      </c>
    </row>
    <row r="373" spans="1:27" ht="22.5" customHeight="1" thickTop="1" thickBot="1" x14ac:dyDescent="0.3">
      <c r="A373" s="425">
        <v>1</v>
      </c>
      <c r="B373" s="505" t="s">
        <v>216</v>
      </c>
      <c r="C373" s="505" t="s">
        <v>227</v>
      </c>
      <c r="D373" s="505" t="s">
        <v>366</v>
      </c>
      <c r="E373" s="505" t="s">
        <v>231</v>
      </c>
      <c r="F373" s="505" t="s">
        <v>307</v>
      </c>
      <c r="G373" s="505" t="s">
        <v>231</v>
      </c>
      <c r="H373" s="505"/>
      <c r="I373" s="505"/>
      <c r="J373" s="505"/>
      <c r="K373" s="502" t="s">
        <v>600</v>
      </c>
      <c r="L373" s="427"/>
      <c r="M373" s="427"/>
      <c r="N373" s="427"/>
      <c r="O373" s="426">
        <f t="shared" si="254"/>
        <v>0</v>
      </c>
      <c r="P373" s="605"/>
      <c r="Q373" s="606"/>
      <c r="R373" s="607"/>
      <c r="S373" s="427"/>
      <c r="T373" s="427"/>
      <c r="U373" s="608"/>
      <c r="V373" s="737">
        <v>0</v>
      </c>
      <c r="W373" s="427"/>
      <c r="X373" s="522"/>
      <c r="Y373" s="522"/>
      <c r="Z373" s="738">
        <f t="shared" si="255"/>
        <v>0</v>
      </c>
      <c r="AA373" s="739">
        <f t="shared" si="256"/>
        <v>0</v>
      </c>
    </row>
    <row r="374" spans="1:27" ht="22.5" customHeight="1" thickTop="1" thickBot="1" x14ac:dyDescent="0.3">
      <c r="A374" s="425">
        <v>1</v>
      </c>
      <c r="B374" s="505" t="s">
        <v>216</v>
      </c>
      <c r="C374" s="505" t="s">
        <v>227</v>
      </c>
      <c r="D374" s="505" t="s">
        <v>366</v>
      </c>
      <c r="E374" s="505" t="s">
        <v>231</v>
      </c>
      <c r="F374" s="505" t="s">
        <v>307</v>
      </c>
      <c r="G374" s="505" t="s">
        <v>305</v>
      </c>
      <c r="H374" s="505"/>
      <c r="I374" s="505"/>
      <c r="J374" s="505"/>
      <c r="K374" s="502" t="s">
        <v>601</v>
      </c>
      <c r="L374" s="427"/>
      <c r="M374" s="427"/>
      <c r="N374" s="427"/>
      <c r="O374" s="426">
        <f t="shared" si="254"/>
        <v>0</v>
      </c>
      <c r="P374" s="605"/>
      <c r="Q374" s="606"/>
      <c r="R374" s="607"/>
      <c r="S374" s="427"/>
      <c r="T374" s="427"/>
      <c r="U374" s="608"/>
      <c r="V374" s="737">
        <v>0</v>
      </c>
      <c r="W374" s="427"/>
      <c r="X374" s="522"/>
      <c r="Y374" s="522"/>
      <c r="Z374" s="738">
        <f t="shared" si="255"/>
        <v>0</v>
      </c>
      <c r="AA374" s="739">
        <f t="shared" si="256"/>
        <v>0</v>
      </c>
    </row>
    <row r="375" spans="1:27" ht="22.5" customHeight="1" thickTop="1" thickBot="1" x14ac:dyDescent="0.3">
      <c r="A375" s="425">
        <v>1</v>
      </c>
      <c r="B375" s="505" t="s">
        <v>216</v>
      </c>
      <c r="C375" s="505" t="s">
        <v>227</v>
      </c>
      <c r="D375" s="505" t="s">
        <v>366</v>
      </c>
      <c r="E375" s="505" t="s">
        <v>231</v>
      </c>
      <c r="F375" s="505" t="s">
        <v>307</v>
      </c>
      <c r="G375" s="505" t="s">
        <v>313</v>
      </c>
      <c r="H375" s="505"/>
      <c r="I375" s="505"/>
      <c r="J375" s="505"/>
      <c r="K375" s="502" t="s">
        <v>602</v>
      </c>
      <c r="L375" s="427"/>
      <c r="M375" s="427"/>
      <c r="N375" s="427"/>
      <c r="O375" s="426">
        <f t="shared" si="254"/>
        <v>0</v>
      </c>
      <c r="P375" s="605"/>
      <c r="Q375" s="606"/>
      <c r="R375" s="607"/>
      <c r="S375" s="427"/>
      <c r="T375" s="427"/>
      <c r="U375" s="608"/>
      <c r="V375" s="737">
        <v>0</v>
      </c>
      <c r="W375" s="427"/>
      <c r="X375" s="522"/>
      <c r="Y375" s="522"/>
      <c r="Z375" s="738">
        <f t="shared" si="255"/>
        <v>0</v>
      </c>
      <c r="AA375" s="739">
        <f t="shared" si="256"/>
        <v>0</v>
      </c>
    </row>
    <row r="376" spans="1:27" ht="22.5" customHeight="1" thickTop="1" thickBot="1" x14ac:dyDescent="0.3">
      <c r="A376" s="425">
        <v>1</v>
      </c>
      <c r="B376" s="505" t="s">
        <v>216</v>
      </c>
      <c r="C376" s="505" t="s">
        <v>227</v>
      </c>
      <c r="D376" s="505" t="s">
        <v>366</v>
      </c>
      <c r="E376" s="505" t="s">
        <v>231</v>
      </c>
      <c r="F376" s="505" t="s">
        <v>332</v>
      </c>
      <c r="G376" s="505"/>
      <c r="H376" s="505"/>
      <c r="I376" s="505"/>
      <c r="J376" s="505"/>
      <c r="K376" s="502" t="s">
        <v>603</v>
      </c>
      <c r="L376" s="427"/>
      <c r="M376" s="427"/>
      <c r="N376" s="427"/>
      <c r="O376" s="426">
        <f t="shared" si="254"/>
        <v>0</v>
      </c>
      <c r="P376" s="605"/>
      <c r="Q376" s="606"/>
      <c r="R376" s="607"/>
      <c r="S376" s="427"/>
      <c r="T376" s="427"/>
      <c r="U376" s="608"/>
      <c r="V376" s="737">
        <v>0</v>
      </c>
      <c r="W376" s="427"/>
      <c r="X376" s="522"/>
      <c r="Y376" s="522"/>
      <c r="Z376" s="738">
        <f t="shared" si="255"/>
        <v>0</v>
      </c>
      <c r="AA376" s="739">
        <f t="shared" si="256"/>
        <v>0</v>
      </c>
    </row>
    <row r="377" spans="1:27" ht="22.5" customHeight="1" thickTop="1" thickBot="1" x14ac:dyDescent="0.3">
      <c r="A377" s="425">
        <v>1</v>
      </c>
      <c r="B377" s="505" t="s">
        <v>216</v>
      </c>
      <c r="C377" s="505" t="s">
        <v>227</v>
      </c>
      <c r="D377" s="505" t="s">
        <v>366</v>
      </c>
      <c r="E377" s="505" t="s">
        <v>305</v>
      </c>
      <c r="F377" s="505"/>
      <c r="G377" s="505"/>
      <c r="H377" s="505"/>
      <c r="I377" s="505"/>
      <c r="J377" s="505"/>
      <c r="K377" s="502" t="s">
        <v>589</v>
      </c>
      <c r="L377" s="427"/>
      <c r="M377" s="427"/>
      <c r="N377" s="427"/>
      <c r="O377" s="426">
        <f t="shared" si="254"/>
        <v>0</v>
      </c>
      <c r="P377" s="605"/>
      <c r="Q377" s="606"/>
      <c r="R377" s="607"/>
      <c r="S377" s="427"/>
      <c r="T377" s="427"/>
      <c r="U377" s="608"/>
      <c r="V377" s="737">
        <v>0</v>
      </c>
      <c r="W377" s="427"/>
      <c r="X377" s="522"/>
      <c r="Y377" s="522"/>
      <c r="Z377" s="738">
        <f t="shared" si="255"/>
        <v>0</v>
      </c>
      <c r="AA377" s="739">
        <f t="shared" si="256"/>
        <v>0</v>
      </c>
    </row>
    <row r="378" spans="1:27" ht="22.5" customHeight="1" thickTop="1" thickBot="1" x14ac:dyDescent="0.3">
      <c r="A378" s="425">
        <v>1</v>
      </c>
      <c r="B378" s="505" t="s">
        <v>216</v>
      </c>
      <c r="C378" s="505" t="s">
        <v>227</v>
      </c>
      <c r="D378" s="505" t="s">
        <v>371</v>
      </c>
      <c r="E378" s="505"/>
      <c r="F378" s="505"/>
      <c r="G378" s="505"/>
      <c r="H378" s="505"/>
      <c r="I378" s="505"/>
      <c r="J378" s="505"/>
      <c r="K378" s="611" t="s">
        <v>604</v>
      </c>
      <c r="L378" s="427">
        <f>+L379+L389+L390+L393</f>
        <v>0</v>
      </c>
      <c r="M378" s="427">
        <f t="shared" ref="M378:U378" si="257">+M379+M389+M390+M393</f>
        <v>0</v>
      </c>
      <c r="N378" s="427">
        <f t="shared" si="257"/>
        <v>0</v>
      </c>
      <c r="O378" s="427">
        <f t="shared" si="257"/>
        <v>0</v>
      </c>
      <c r="P378" s="605">
        <f t="shared" si="257"/>
        <v>0</v>
      </c>
      <c r="Q378" s="606">
        <f t="shared" si="257"/>
        <v>0</v>
      </c>
      <c r="R378" s="607">
        <f t="shared" si="257"/>
        <v>0</v>
      </c>
      <c r="S378" s="427">
        <f t="shared" si="257"/>
        <v>0</v>
      </c>
      <c r="T378" s="427">
        <f t="shared" si="257"/>
        <v>0</v>
      </c>
      <c r="U378" s="608">
        <f t="shared" si="257"/>
        <v>0</v>
      </c>
      <c r="V378" s="427" t="e">
        <f t="shared" si="232"/>
        <v>#DIV/0!</v>
      </c>
      <c r="W378" s="427"/>
      <c r="X378" s="522"/>
      <c r="Y378" s="522"/>
    </row>
    <row r="379" spans="1:27" ht="22.5" customHeight="1" thickTop="1" thickBot="1" x14ac:dyDescent="0.3">
      <c r="A379" s="425">
        <v>1</v>
      </c>
      <c r="B379" s="505" t="s">
        <v>216</v>
      </c>
      <c r="C379" s="505" t="s">
        <v>227</v>
      </c>
      <c r="D379" s="505" t="s">
        <v>371</v>
      </c>
      <c r="E379" s="505" t="s">
        <v>220</v>
      </c>
      <c r="F379" s="505"/>
      <c r="G379" s="505"/>
      <c r="H379" s="505"/>
      <c r="I379" s="505"/>
      <c r="J379" s="505"/>
      <c r="K379" s="611" t="s">
        <v>605</v>
      </c>
      <c r="L379" s="427">
        <f>+L380+L383+L386</f>
        <v>0</v>
      </c>
      <c r="M379" s="427">
        <f t="shared" ref="M379:U379" si="258">+M380+M383+M386</f>
        <v>0</v>
      </c>
      <c r="N379" s="427">
        <f t="shared" si="258"/>
        <v>0</v>
      </c>
      <c r="O379" s="427">
        <f t="shared" si="258"/>
        <v>0</v>
      </c>
      <c r="P379" s="605">
        <f t="shared" si="258"/>
        <v>0</v>
      </c>
      <c r="Q379" s="606">
        <f t="shared" si="258"/>
        <v>0</v>
      </c>
      <c r="R379" s="607">
        <f t="shared" si="258"/>
        <v>0</v>
      </c>
      <c r="S379" s="427">
        <f t="shared" si="258"/>
        <v>0</v>
      </c>
      <c r="T379" s="427">
        <f t="shared" si="258"/>
        <v>0</v>
      </c>
      <c r="U379" s="608">
        <f t="shared" si="258"/>
        <v>0</v>
      </c>
      <c r="V379" s="427" t="e">
        <f t="shared" si="232"/>
        <v>#DIV/0!</v>
      </c>
      <c r="W379" s="427"/>
      <c r="X379" s="522"/>
      <c r="Y379" s="522"/>
    </row>
    <row r="380" spans="1:27" ht="22.5" customHeight="1" thickTop="1" thickBot="1" x14ac:dyDescent="0.3">
      <c r="A380" s="425">
        <v>1</v>
      </c>
      <c r="B380" s="505" t="s">
        <v>216</v>
      </c>
      <c r="C380" s="505" t="s">
        <v>227</v>
      </c>
      <c r="D380" s="505" t="s">
        <v>371</v>
      </c>
      <c r="E380" s="505" t="s">
        <v>220</v>
      </c>
      <c r="F380" s="505" t="s">
        <v>307</v>
      </c>
      <c r="G380" s="505"/>
      <c r="H380" s="505"/>
      <c r="I380" s="505"/>
      <c r="J380" s="505"/>
      <c r="K380" s="611" t="s">
        <v>606</v>
      </c>
      <c r="L380" s="427">
        <f>+L381+L382</f>
        <v>0</v>
      </c>
      <c r="M380" s="427">
        <f t="shared" ref="M380:U380" si="259">+M381+M382</f>
        <v>0</v>
      </c>
      <c r="N380" s="427">
        <f t="shared" si="259"/>
        <v>0</v>
      </c>
      <c r="O380" s="427">
        <f t="shared" si="259"/>
        <v>0</v>
      </c>
      <c r="P380" s="605">
        <f t="shared" si="259"/>
        <v>0</v>
      </c>
      <c r="Q380" s="606">
        <f t="shared" si="259"/>
        <v>0</v>
      </c>
      <c r="R380" s="607">
        <f t="shared" si="259"/>
        <v>0</v>
      </c>
      <c r="S380" s="427">
        <f t="shared" si="259"/>
        <v>0</v>
      </c>
      <c r="T380" s="427">
        <f t="shared" si="259"/>
        <v>0</v>
      </c>
      <c r="U380" s="608">
        <f t="shared" si="259"/>
        <v>0</v>
      </c>
      <c r="V380" s="427" t="e">
        <f t="shared" si="232"/>
        <v>#DIV/0!</v>
      </c>
      <c r="W380" s="427"/>
      <c r="X380" s="522"/>
      <c r="Y380" s="522"/>
    </row>
    <row r="381" spans="1:27" ht="22.5" customHeight="1" thickTop="1" thickBot="1" x14ac:dyDescent="0.3">
      <c r="A381" s="425">
        <v>1</v>
      </c>
      <c r="B381" s="505" t="s">
        <v>216</v>
      </c>
      <c r="C381" s="505" t="s">
        <v>227</v>
      </c>
      <c r="D381" s="505" t="s">
        <v>371</v>
      </c>
      <c r="E381" s="505" t="s">
        <v>220</v>
      </c>
      <c r="F381" s="505" t="s">
        <v>307</v>
      </c>
      <c r="G381" s="505" t="s">
        <v>220</v>
      </c>
      <c r="H381" s="505"/>
      <c r="I381" s="505"/>
      <c r="J381" s="505"/>
      <c r="K381" s="611" t="s">
        <v>607</v>
      </c>
      <c r="L381" s="427"/>
      <c r="M381" s="427"/>
      <c r="N381" s="427"/>
      <c r="O381" s="426">
        <f>+L381+M381-N381</f>
        <v>0</v>
      </c>
      <c r="P381" s="605"/>
      <c r="Q381" s="606"/>
      <c r="R381" s="607"/>
      <c r="S381" s="427"/>
      <c r="T381" s="427"/>
      <c r="U381" s="608"/>
      <c r="V381" s="737">
        <v>0</v>
      </c>
      <c r="W381" s="427"/>
      <c r="X381" s="522"/>
      <c r="Y381" s="522"/>
      <c r="Z381" s="738">
        <f t="shared" ref="Z381:Z382" si="260">SUBTOTAL(9,P381:S381)</f>
        <v>0</v>
      </c>
      <c r="AA381" s="739">
        <f t="shared" ref="AA381:AA382" si="261">+Z381-O381</f>
        <v>0</v>
      </c>
    </row>
    <row r="382" spans="1:27" ht="22.5" customHeight="1" thickTop="1" thickBot="1" x14ac:dyDescent="0.3">
      <c r="A382" s="425">
        <v>1</v>
      </c>
      <c r="B382" s="505" t="s">
        <v>216</v>
      </c>
      <c r="C382" s="505" t="s">
        <v>227</v>
      </c>
      <c r="D382" s="505" t="s">
        <v>371</v>
      </c>
      <c r="E382" s="505" t="s">
        <v>220</v>
      </c>
      <c r="F382" s="505" t="s">
        <v>307</v>
      </c>
      <c r="G382" s="505" t="s">
        <v>231</v>
      </c>
      <c r="H382" s="505"/>
      <c r="I382" s="505"/>
      <c r="J382" s="505"/>
      <c r="K382" s="611" t="s">
        <v>608</v>
      </c>
      <c r="L382" s="427"/>
      <c r="M382" s="427"/>
      <c r="N382" s="427"/>
      <c r="O382" s="426">
        <f>+L382+M382-N382</f>
        <v>0</v>
      </c>
      <c r="P382" s="605"/>
      <c r="Q382" s="606"/>
      <c r="R382" s="607"/>
      <c r="S382" s="427"/>
      <c r="T382" s="427"/>
      <c r="U382" s="608"/>
      <c r="V382" s="737">
        <v>0</v>
      </c>
      <c r="W382" s="427"/>
      <c r="X382" s="522"/>
      <c r="Y382" s="522"/>
      <c r="Z382" s="738">
        <f t="shared" si="260"/>
        <v>0</v>
      </c>
      <c r="AA382" s="739">
        <f t="shared" si="261"/>
        <v>0</v>
      </c>
    </row>
    <row r="383" spans="1:27" ht="22.5" customHeight="1" thickTop="1" thickBot="1" x14ac:dyDescent="0.3">
      <c r="A383" s="425">
        <v>1</v>
      </c>
      <c r="B383" s="505" t="s">
        <v>216</v>
      </c>
      <c r="C383" s="505" t="s">
        <v>227</v>
      </c>
      <c r="D383" s="505" t="s">
        <v>371</v>
      </c>
      <c r="E383" s="505" t="s">
        <v>220</v>
      </c>
      <c r="F383" s="505" t="s">
        <v>332</v>
      </c>
      <c r="G383" s="505"/>
      <c r="H383" s="505"/>
      <c r="I383" s="505"/>
      <c r="J383" s="505"/>
      <c r="K383" s="611" t="s">
        <v>609</v>
      </c>
      <c r="L383" s="427">
        <f>+L384+L385</f>
        <v>0</v>
      </c>
      <c r="M383" s="427">
        <f t="shared" ref="M383:U383" si="262">+M384+M385</f>
        <v>0</v>
      </c>
      <c r="N383" s="427">
        <f t="shared" si="262"/>
        <v>0</v>
      </c>
      <c r="O383" s="427">
        <f t="shared" si="262"/>
        <v>0</v>
      </c>
      <c r="P383" s="605">
        <f t="shared" si="262"/>
        <v>0</v>
      </c>
      <c r="Q383" s="606">
        <f t="shared" si="262"/>
        <v>0</v>
      </c>
      <c r="R383" s="607">
        <f t="shared" si="262"/>
        <v>0</v>
      </c>
      <c r="S383" s="427">
        <f t="shared" si="262"/>
        <v>0</v>
      </c>
      <c r="T383" s="427">
        <f t="shared" si="262"/>
        <v>0</v>
      </c>
      <c r="U383" s="608">
        <f t="shared" si="262"/>
        <v>0</v>
      </c>
      <c r="V383" s="427" t="e">
        <f t="shared" si="232"/>
        <v>#DIV/0!</v>
      </c>
      <c r="W383" s="427"/>
      <c r="X383" s="522"/>
      <c r="Y383" s="522"/>
    </row>
    <row r="384" spans="1:27" ht="22.5" customHeight="1" thickTop="1" thickBot="1" x14ac:dyDescent="0.3">
      <c r="A384" s="425">
        <v>1</v>
      </c>
      <c r="B384" s="505" t="s">
        <v>216</v>
      </c>
      <c r="C384" s="505" t="s">
        <v>227</v>
      </c>
      <c r="D384" s="505" t="s">
        <v>371</v>
      </c>
      <c r="E384" s="505" t="s">
        <v>220</v>
      </c>
      <c r="F384" s="505" t="s">
        <v>332</v>
      </c>
      <c r="G384" s="505" t="s">
        <v>220</v>
      </c>
      <c r="H384" s="505"/>
      <c r="I384" s="505"/>
      <c r="J384" s="505"/>
      <c r="K384" s="611" t="s">
        <v>607</v>
      </c>
      <c r="L384" s="427"/>
      <c r="M384" s="427"/>
      <c r="N384" s="427"/>
      <c r="O384" s="426">
        <f>+L384+M384-N384</f>
        <v>0</v>
      </c>
      <c r="P384" s="605"/>
      <c r="Q384" s="606"/>
      <c r="R384" s="607"/>
      <c r="S384" s="427"/>
      <c r="T384" s="427"/>
      <c r="U384" s="608"/>
      <c r="V384" s="737">
        <v>0</v>
      </c>
      <c r="W384" s="427"/>
      <c r="X384" s="522"/>
      <c r="Y384" s="522"/>
      <c r="Z384" s="738">
        <f t="shared" ref="Z384:Z385" si="263">SUBTOTAL(9,P384:S384)</f>
        <v>0</v>
      </c>
      <c r="AA384" s="739">
        <f t="shared" ref="AA384:AA385" si="264">+Z384-O384</f>
        <v>0</v>
      </c>
    </row>
    <row r="385" spans="1:27" ht="22.5" customHeight="1" thickTop="1" thickBot="1" x14ac:dyDescent="0.3">
      <c r="A385" s="425">
        <v>1</v>
      </c>
      <c r="B385" s="505" t="s">
        <v>216</v>
      </c>
      <c r="C385" s="505" t="s">
        <v>227</v>
      </c>
      <c r="D385" s="505" t="s">
        <v>371</v>
      </c>
      <c r="E385" s="505" t="s">
        <v>220</v>
      </c>
      <c r="F385" s="505" t="s">
        <v>332</v>
      </c>
      <c r="G385" s="505" t="s">
        <v>231</v>
      </c>
      <c r="H385" s="505"/>
      <c r="I385" s="505"/>
      <c r="J385" s="505"/>
      <c r="K385" s="611" t="s">
        <v>608</v>
      </c>
      <c r="L385" s="427"/>
      <c r="M385" s="427"/>
      <c r="N385" s="427"/>
      <c r="O385" s="426">
        <f>+L385+M385-N385</f>
        <v>0</v>
      </c>
      <c r="P385" s="605"/>
      <c r="Q385" s="606"/>
      <c r="R385" s="607"/>
      <c r="S385" s="427"/>
      <c r="T385" s="427"/>
      <c r="U385" s="608"/>
      <c r="V385" s="737">
        <v>0</v>
      </c>
      <c r="W385" s="427"/>
      <c r="X385" s="522"/>
      <c r="Y385" s="522"/>
      <c r="Z385" s="738">
        <f t="shared" si="263"/>
        <v>0</v>
      </c>
      <c r="AA385" s="739">
        <f t="shared" si="264"/>
        <v>0</v>
      </c>
    </row>
    <row r="386" spans="1:27" ht="22.5" customHeight="1" thickTop="1" thickBot="1" x14ac:dyDescent="0.3">
      <c r="A386" s="425">
        <v>1</v>
      </c>
      <c r="B386" s="505" t="s">
        <v>216</v>
      </c>
      <c r="C386" s="505" t="s">
        <v>227</v>
      </c>
      <c r="D386" s="505" t="s">
        <v>371</v>
      </c>
      <c r="E386" s="505" t="s">
        <v>220</v>
      </c>
      <c r="F386" s="505" t="s">
        <v>391</v>
      </c>
      <c r="G386" s="505"/>
      <c r="H386" s="505"/>
      <c r="I386" s="505"/>
      <c r="J386" s="505"/>
      <c r="K386" s="611" t="s">
        <v>610</v>
      </c>
      <c r="L386" s="427">
        <f>+L387+L388</f>
        <v>0</v>
      </c>
      <c r="M386" s="427">
        <f t="shared" ref="M386:U386" si="265">+M387+M388</f>
        <v>0</v>
      </c>
      <c r="N386" s="427">
        <f t="shared" si="265"/>
        <v>0</v>
      </c>
      <c r="O386" s="427">
        <f t="shared" si="265"/>
        <v>0</v>
      </c>
      <c r="P386" s="605">
        <f t="shared" si="265"/>
        <v>0</v>
      </c>
      <c r="Q386" s="606">
        <f t="shared" si="265"/>
        <v>0</v>
      </c>
      <c r="R386" s="607">
        <f t="shared" si="265"/>
        <v>0</v>
      </c>
      <c r="S386" s="427">
        <f t="shared" si="265"/>
        <v>0</v>
      </c>
      <c r="T386" s="427">
        <f t="shared" si="265"/>
        <v>0</v>
      </c>
      <c r="U386" s="608">
        <f t="shared" si="265"/>
        <v>0</v>
      </c>
      <c r="V386" s="427" t="e">
        <f t="shared" si="232"/>
        <v>#DIV/0!</v>
      </c>
      <c r="W386" s="427"/>
      <c r="X386" s="522"/>
      <c r="Y386" s="522"/>
    </row>
    <row r="387" spans="1:27" ht="22.5" customHeight="1" thickTop="1" thickBot="1" x14ac:dyDescent="0.3">
      <c r="A387" s="425">
        <v>1</v>
      </c>
      <c r="B387" s="505" t="s">
        <v>216</v>
      </c>
      <c r="C387" s="505" t="s">
        <v>227</v>
      </c>
      <c r="D387" s="505" t="s">
        <v>371</v>
      </c>
      <c r="E387" s="505" t="s">
        <v>220</v>
      </c>
      <c r="F387" s="505" t="s">
        <v>391</v>
      </c>
      <c r="G387" s="505" t="s">
        <v>220</v>
      </c>
      <c r="H387" s="505"/>
      <c r="I387" s="505"/>
      <c r="J387" s="505"/>
      <c r="K387" s="611" t="s">
        <v>607</v>
      </c>
      <c r="L387" s="427"/>
      <c r="M387" s="427"/>
      <c r="N387" s="427"/>
      <c r="O387" s="426">
        <f t="shared" ref="O387:O392" si="266">+L387+M387-N387</f>
        <v>0</v>
      </c>
      <c r="P387" s="605"/>
      <c r="Q387" s="606"/>
      <c r="R387" s="607"/>
      <c r="S387" s="427"/>
      <c r="T387" s="427"/>
      <c r="U387" s="608"/>
      <c r="V387" s="737">
        <v>0</v>
      </c>
      <c r="W387" s="427"/>
      <c r="X387" s="522"/>
      <c r="Y387" s="522"/>
      <c r="Z387" s="738">
        <f t="shared" ref="Z387:Z389" si="267">SUBTOTAL(9,P387:S387)</f>
        <v>0</v>
      </c>
      <c r="AA387" s="739">
        <f t="shared" ref="AA387:AA389" si="268">+Z387-O387</f>
        <v>0</v>
      </c>
    </row>
    <row r="388" spans="1:27" ht="22.5" customHeight="1" thickTop="1" thickBot="1" x14ac:dyDescent="0.3">
      <c r="A388" s="425">
        <v>1</v>
      </c>
      <c r="B388" s="505" t="s">
        <v>216</v>
      </c>
      <c r="C388" s="505" t="s">
        <v>227</v>
      </c>
      <c r="D388" s="505" t="s">
        <v>371</v>
      </c>
      <c r="E388" s="505" t="s">
        <v>220</v>
      </c>
      <c r="F388" s="505" t="s">
        <v>391</v>
      </c>
      <c r="G388" s="505" t="s">
        <v>231</v>
      </c>
      <c r="H388" s="505"/>
      <c r="I388" s="505"/>
      <c r="J388" s="505"/>
      <c r="K388" s="611" t="s">
        <v>608</v>
      </c>
      <c r="L388" s="427"/>
      <c r="M388" s="427"/>
      <c r="N388" s="427"/>
      <c r="O388" s="426">
        <f t="shared" si="266"/>
        <v>0</v>
      </c>
      <c r="P388" s="605"/>
      <c r="Q388" s="606"/>
      <c r="R388" s="607"/>
      <c r="S388" s="427"/>
      <c r="T388" s="427"/>
      <c r="U388" s="608"/>
      <c r="V388" s="737">
        <v>0</v>
      </c>
      <c r="W388" s="427"/>
      <c r="X388" s="522"/>
      <c r="Y388" s="522"/>
      <c r="Z388" s="738">
        <f t="shared" si="267"/>
        <v>0</v>
      </c>
      <c r="AA388" s="739">
        <f t="shared" si="268"/>
        <v>0</v>
      </c>
    </row>
    <row r="389" spans="1:27" ht="22.5" customHeight="1" thickTop="1" thickBot="1" x14ac:dyDescent="0.3">
      <c r="A389" s="425">
        <v>1</v>
      </c>
      <c r="B389" s="505" t="s">
        <v>216</v>
      </c>
      <c r="C389" s="505" t="s">
        <v>227</v>
      </c>
      <c r="D389" s="505" t="s">
        <v>371</v>
      </c>
      <c r="E389" s="505" t="s">
        <v>231</v>
      </c>
      <c r="F389" s="505"/>
      <c r="G389" s="505"/>
      <c r="H389" s="505"/>
      <c r="I389" s="505"/>
      <c r="J389" s="505"/>
      <c r="K389" s="611" t="s">
        <v>427</v>
      </c>
      <c r="L389" s="427"/>
      <c r="M389" s="427"/>
      <c r="N389" s="427"/>
      <c r="O389" s="426">
        <f t="shared" si="266"/>
        <v>0</v>
      </c>
      <c r="P389" s="605"/>
      <c r="Q389" s="606"/>
      <c r="R389" s="607"/>
      <c r="S389" s="427"/>
      <c r="T389" s="427"/>
      <c r="U389" s="608"/>
      <c r="V389" s="737">
        <v>0</v>
      </c>
      <c r="W389" s="427"/>
      <c r="X389" s="522"/>
      <c r="Y389" s="522"/>
      <c r="Z389" s="738">
        <f t="shared" si="267"/>
        <v>0</v>
      </c>
      <c r="AA389" s="739">
        <f t="shared" si="268"/>
        <v>0</v>
      </c>
    </row>
    <row r="390" spans="1:27" ht="22.5" customHeight="1" thickTop="1" thickBot="1" x14ac:dyDescent="0.3">
      <c r="A390" s="425">
        <v>1</v>
      </c>
      <c r="B390" s="505" t="s">
        <v>216</v>
      </c>
      <c r="C390" s="505" t="s">
        <v>227</v>
      </c>
      <c r="D390" s="505" t="s">
        <v>371</v>
      </c>
      <c r="E390" s="505" t="s">
        <v>305</v>
      </c>
      <c r="F390" s="505"/>
      <c r="G390" s="505"/>
      <c r="H390" s="505"/>
      <c r="I390" s="505"/>
      <c r="J390" s="505"/>
      <c r="K390" s="611" t="s">
        <v>611</v>
      </c>
      <c r="L390" s="427">
        <f>+L391+L392</f>
        <v>0</v>
      </c>
      <c r="M390" s="427">
        <f t="shared" ref="M390:U390" si="269">+M391+M392</f>
        <v>0</v>
      </c>
      <c r="N390" s="427">
        <f t="shared" si="269"/>
        <v>0</v>
      </c>
      <c r="O390" s="426">
        <f t="shared" si="266"/>
        <v>0</v>
      </c>
      <c r="P390" s="605">
        <f t="shared" si="269"/>
        <v>0</v>
      </c>
      <c r="Q390" s="606">
        <f t="shared" si="269"/>
        <v>0</v>
      </c>
      <c r="R390" s="607">
        <f t="shared" si="269"/>
        <v>0</v>
      </c>
      <c r="S390" s="427">
        <f t="shared" si="269"/>
        <v>0</v>
      </c>
      <c r="T390" s="427">
        <f t="shared" si="269"/>
        <v>0</v>
      </c>
      <c r="U390" s="608">
        <f t="shared" si="269"/>
        <v>0</v>
      </c>
      <c r="V390" s="427" t="e">
        <f t="shared" si="232"/>
        <v>#DIV/0!</v>
      </c>
      <c r="W390" s="427"/>
      <c r="X390" s="522"/>
      <c r="Y390" s="522"/>
    </row>
    <row r="391" spans="1:27" ht="22.5" customHeight="1" thickTop="1" thickBot="1" x14ac:dyDescent="0.3">
      <c r="A391" s="425">
        <v>1</v>
      </c>
      <c r="B391" s="505" t="s">
        <v>216</v>
      </c>
      <c r="C391" s="505" t="s">
        <v>227</v>
      </c>
      <c r="D391" s="505" t="s">
        <v>371</v>
      </c>
      <c r="E391" s="505" t="s">
        <v>305</v>
      </c>
      <c r="F391" s="505" t="s">
        <v>307</v>
      </c>
      <c r="G391" s="505"/>
      <c r="H391" s="505"/>
      <c r="I391" s="505"/>
      <c r="J391" s="505"/>
      <c r="K391" s="611" t="s">
        <v>612</v>
      </c>
      <c r="L391" s="427"/>
      <c r="M391" s="427"/>
      <c r="N391" s="427"/>
      <c r="O391" s="426">
        <f t="shared" si="266"/>
        <v>0</v>
      </c>
      <c r="P391" s="605"/>
      <c r="Q391" s="606"/>
      <c r="R391" s="607"/>
      <c r="S391" s="427"/>
      <c r="T391" s="427"/>
      <c r="U391" s="608"/>
      <c r="V391" s="737">
        <v>0</v>
      </c>
      <c r="W391" s="427"/>
      <c r="X391" s="522"/>
      <c r="Y391" s="522"/>
      <c r="Z391" s="738">
        <f t="shared" ref="Z391:Z392" si="270">SUBTOTAL(9,P391:S391)</f>
        <v>0</v>
      </c>
      <c r="AA391" s="739">
        <f t="shared" ref="AA391:AA392" si="271">+Z391-O391</f>
        <v>0</v>
      </c>
    </row>
    <row r="392" spans="1:27" ht="22.5" customHeight="1" thickTop="1" thickBot="1" x14ac:dyDescent="0.3">
      <c r="A392" s="425">
        <v>1</v>
      </c>
      <c r="B392" s="505" t="s">
        <v>216</v>
      </c>
      <c r="C392" s="505" t="s">
        <v>227</v>
      </c>
      <c r="D392" s="505" t="s">
        <v>371</v>
      </c>
      <c r="E392" s="505" t="s">
        <v>305</v>
      </c>
      <c r="F392" s="505" t="s">
        <v>332</v>
      </c>
      <c r="G392" s="505"/>
      <c r="H392" s="505"/>
      <c r="I392" s="505"/>
      <c r="J392" s="505"/>
      <c r="K392" s="611" t="s">
        <v>613</v>
      </c>
      <c r="L392" s="427"/>
      <c r="M392" s="427"/>
      <c r="N392" s="427"/>
      <c r="O392" s="426">
        <f t="shared" si="266"/>
        <v>0</v>
      </c>
      <c r="P392" s="605"/>
      <c r="Q392" s="606"/>
      <c r="R392" s="607"/>
      <c r="S392" s="427"/>
      <c r="T392" s="427"/>
      <c r="U392" s="608"/>
      <c r="V392" s="737">
        <v>0</v>
      </c>
      <c r="W392" s="427"/>
      <c r="X392" s="522"/>
      <c r="Y392" s="522"/>
      <c r="Z392" s="738">
        <f t="shared" si="270"/>
        <v>0</v>
      </c>
      <c r="AA392" s="739">
        <f t="shared" si="271"/>
        <v>0</v>
      </c>
    </row>
    <row r="393" spans="1:27" ht="22.5" customHeight="1" thickTop="1" thickBot="1" x14ac:dyDescent="0.3">
      <c r="A393" s="425">
        <v>1</v>
      </c>
      <c r="B393" s="505" t="s">
        <v>216</v>
      </c>
      <c r="C393" s="505" t="s">
        <v>227</v>
      </c>
      <c r="D393" s="505" t="s">
        <v>371</v>
      </c>
      <c r="E393" s="505" t="s">
        <v>361</v>
      </c>
      <c r="F393" s="505"/>
      <c r="G393" s="505"/>
      <c r="H393" s="505"/>
      <c r="I393" s="505"/>
      <c r="J393" s="505"/>
      <c r="K393" s="611" t="s">
        <v>614</v>
      </c>
      <c r="L393" s="427">
        <f>+L394+L395</f>
        <v>0</v>
      </c>
      <c r="M393" s="427">
        <f t="shared" ref="M393:U393" si="272">+M394+M395</f>
        <v>0</v>
      </c>
      <c r="N393" s="427">
        <f t="shared" si="272"/>
        <v>0</v>
      </c>
      <c r="O393" s="427">
        <f t="shared" si="272"/>
        <v>0</v>
      </c>
      <c r="P393" s="605">
        <f t="shared" si="272"/>
        <v>0</v>
      </c>
      <c r="Q393" s="606">
        <f t="shared" si="272"/>
        <v>0</v>
      </c>
      <c r="R393" s="607">
        <f t="shared" si="272"/>
        <v>0</v>
      </c>
      <c r="S393" s="427">
        <f t="shared" si="272"/>
        <v>0</v>
      </c>
      <c r="T393" s="427">
        <f t="shared" si="272"/>
        <v>0</v>
      </c>
      <c r="U393" s="608">
        <f t="shared" si="272"/>
        <v>0</v>
      </c>
      <c r="V393" s="427" t="e">
        <f t="shared" ref="V393:V438" si="273">+U393/T393</f>
        <v>#DIV/0!</v>
      </c>
      <c r="W393" s="427"/>
      <c r="X393" s="522"/>
      <c r="Y393" s="522"/>
    </row>
    <row r="394" spans="1:27" ht="22.5" customHeight="1" thickTop="1" thickBot="1" x14ac:dyDescent="0.3">
      <c r="A394" s="425">
        <v>1</v>
      </c>
      <c r="B394" s="505" t="s">
        <v>216</v>
      </c>
      <c r="C394" s="505" t="s">
        <v>227</v>
      </c>
      <c r="D394" s="505" t="s">
        <v>371</v>
      </c>
      <c r="E394" s="505" t="s">
        <v>361</v>
      </c>
      <c r="F394" s="505" t="s">
        <v>307</v>
      </c>
      <c r="G394" s="505"/>
      <c r="H394" s="505"/>
      <c r="I394" s="505"/>
      <c r="J394" s="505"/>
      <c r="K394" s="611" t="s">
        <v>615</v>
      </c>
      <c r="L394" s="427"/>
      <c r="M394" s="427"/>
      <c r="N394" s="427"/>
      <c r="O394" s="426">
        <f>+L394+M394-N394</f>
        <v>0</v>
      </c>
      <c r="P394" s="605"/>
      <c r="Q394" s="606"/>
      <c r="R394" s="607"/>
      <c r="S394" s="427"/>
      <c r="T394" s="427"/>
      <c r="U394" s="608"/>
      <c r="V394" s="737">
        <v>0</v>
      </c>
      <c r="W394" s="427"/>
      <c r="X394" s="522"/>
      <c r="Y394" s="522"/>
      <c r="Z394" s="738">
        <f t="shared" ref="Z394:Z395" si="274">SUBTOTAL(9,P394:S394)</f>
        <v>0</v>
      </c>
      <c r="AA394" s="739">
        <f t="shared" ref="AA394:AA395" si="275">+Z394-O394</f>
        <v>0</v>
      </c>
    </row>
    <row r="395" spans="1:27" ht="22.5" customHeight="1" thickTop="1" thickBot="1" x14ac:dyDescent="0.3">
      <c r="A395" s="425">
        <v>1</v>
      </c>
      <c r="B395" s="505" t="s">
        <v>216</v>
      </c>
      <c r="C395" s="505" t="s">
        <v>227</v>
      </c>
      <c r="D395" s="505" t="s">
        <v>371</v>
      </c>
      <c r="E395" s="505" t="s">
        <v>361</v>
      </c>
      <c r="F395" s="505" t="s">
        <v>332</v>
      </c>
      <c r="G395" s="505"/>
      <c r="H395" s="505"/>
      <c r="I395" s="505"/>
      <c r="J395" s="505"/>
      <c r="K395" s="611" t="s">
        <v>616</v>
      </c>
      <c r="L395" s="427"/>
      <c r="M395" s="427"/>
      <c r="N395" s="427"/>
      <c r="O395" s="426">
        <f>+L395+M395-N395</f>
        <v>0</v>
      </c>
      <c r="P395" s="605"/>
      <c r="Q395" s="606"/>
      <c r="R395" s="607"/>
      <c r="S395" s="427"/>
      <c r="T395" s="427"/>
      <c r="U395" s="608"/>
      <c r="V395" s="737">
        <v>0</v>
      </c>
      <c r="W395" s="427"/>
      <c r="X395" s="522"/>
      <c r="Y395" s="522"/>
      <c r="Z395" s="738">
        <f t="shared" si="274"/>
        <v>0</v>
      </c>
      <c r="AA395" s="739">
        <f t="shared" si="275"/>
        <v>0</v>
      </c>
    </row>
    <row r="396" spans="1:27" ht="22.5" customHeight="1" thickTop="1" thickBot="1" x14ac:dyDescent="0.3">
      <c r="A396" s="425">
        <v>1</v>
      </c>
      <c r="B396" s="505" t="s">
        <v>216</v>
      </c>
      <c r="C396" s="505" t="s">
        <v>227</v>
      </c>
      <c r="D396" s="505" t="s">
        <v>376</v>
      </c>
      <c r="E396" s="505"/>
      <c r="F396" s="505"/>
      <c r="G396" s="505"/>
      <c r="H396" s="505"/>
      <c r="I396" s="505"/>
      <c r="J396" s="505"/>
      <c r="K396" s="611" t="s">
        <v>617</v>
      </c>
      <c r="L396" s="427">
        <f>+L397+L398+L399+L400+L401</f>
        <v>0</v>
      </c>
      <c r="M396" s="427">
        <f t="shared" ref="M396:U396" si="276">+M397+M398+M399+M400+M401</f>
        <v>0</v>
      </c>
      <c r="N396" s="427">
        <f t="shared" si="276"/>
        <v>0</v>
      </c>
      <c r="O396" s="427">
        <f t="shared" si="276"/>
        <v>0</v>
      </c>
      <c r="P396" s="605">
        <f t="shared" si="276"/>
        <v>0</v>
      </c>
      <c r="Q396" s="606">
        <f t="shared" si="276"/>
        <v>0</v>
      </c>
      <c r="R396" s="607">
        <f t="shared" si="276"/>
        <v>0</v>
      </c>
      <c r="S396" s="427">
        <f t="shared" si="276"/>
        <v>0</v>
      </c>
      <c r="T396" s="427">
        <f t="shared" si="276"/>
        <v>0</v>
      </c>
      <c r="U396" s="608">
        <f t="shared" si="276"/>
        <v>0</v>
      </c>
      <c r="V396" s="427" t="e">
        <f t="shared" si="273"/>
        <v>#DIV/0!</v>
      </c>
      <c r="W396" s="427"/>
      <c r="X396" s="522"/>
      <c r="Y396" s="522"/>
    </row>
    <row r="397" spans="1:27" ht="22.5" customHeight="1" thickTop="1" thickBot="1" x14ac:dyDescent="0.3">
      <c r="A397" s="425">
        <v>1</v>
      </c>
      <c r="B397" s="505" t="s">
        <v>216</v>
      </c>
      <c r="C397" s="505" t="s">
        <v>227</v>
      </c>
      <c r="D397" s="505" t="s">
        <v>376</v>
      </c>
      <c r="E397" s="505" t="s">
        <v>220</v>
      </c>
      <c r="F397" s="505"/>
      <c r="G397" s="505"/>
      <c r="H397" s="505"/>
      <c r="I397" s="505"/>
      <c r="J397" s="505"/>
      <c r="K397" s="611" t="s">
        <v>618</v>
      </c>
      <c r="L397" s="427"/>
      <c r="M397" s="427"/>
      <c r="N397" s="427"/>
      <c r="O397" s="426">
        <f>+L397+M397-N397</f>
        <v>0</v>
      </c>
      <c r="P397" s="605"/>
      <c r="Q397" s="606"/>
      <c r="R397" s="607"/>
      <c r="S397" s="427"/>
      <c r="T397" s="427"/>
      <c r="U397" s="608"/>
      <c r="V397" s="737">
        <v>0</v>
      </c>
      <c r="W397" s="427"/>
      <c r="X397" s="522"/>
      <c r="Y397" s="522"/>
      <c r="Z397" s="738">
        <f t="shared" ref="Z397:Z404" si="277">SUBTOTAL(9,P397:S397)</f>
        <v>0</v>
      </c>
      <c r="AA397" s="739">
        <f t="shared" ref="AA397:AA404" si="278">+Z397-O397</f>
        <v>0</v>
      </c>
    </row>
    <row r="398" spans="1:27" ht="22.5" customHeight="1" thickTop="1" thickBot="1" x14ac:dyDescent="0.3">
      <c r="A398" s="425">
        <v>1</v>
      </c>
      <c r="B398" s="505" t="s">
        <v>216</v>
      </c>
      <c r="C398" s="505" t="s">
        <v>227</v>
      </c>
      <c r="D398" s="505" t="s">
        <v>376</v>
      </c>
      <c r="E398" s="505" t="s">
        <v>231</v>
      </c>
      <c r="F398" s="505"/>
      <c r="G398" s="505"/>
      <c r="H398" s="505"/>
      <c r="I398" s="505"/>
      <c r="J398" s="505"/>
      <c r="K398" s="611" t="s">
        <v>619</v>
      </c>
      <c r="L398" s="427"/>
      <c r="M398" s="427"/>
      <c r="N398" s="427"/>
      <c r="O398" s="426">
        <f>+L398+M398-N398</f>
        <v>0</v>
      </c>
      <c r="P398" s="605"/>
      <c r="Q398" s="606"/>
      <c r="R398" s="607"/>
      <c r="S398" s="427"/>
      <c r="T398" s="427"/>
      <c r="U398" s="608"/>
      <c r="V398" s="737">
        <v>0</v>
      </c>
      <c r="W398" s="427"/>
      <c r="X398" s="522"/>
      <c r="Y398" s="522"/>
      <c r="Z398" s="738">
        <f t="shared" si="277"/>
        <v>0</v>
      </c>
      <c r="AA398" s="739">
        <f t="shared" si="278"/>
        <v>0</v>
      </c>
    </row>
    <row r="399" spans="1:27" ht="22.5" customHeight="1" thickTop="1" thickBot="1" x14ac:dyDescent="0.3">
      <c r="A399" s="425">
        <v>1</v>
      </c>
      <c r="B399" s="505" t="s">
        <v>216</v>
      </c>
      <c r="C399" s="505" t="s">
        <v>227</v>
      </c>
      <c r="D399" s="505" t="s">
        <v>376</v>
      </c>
      <c r="E399" s="505" t="s">
        <v>305</v>
      </c>
      <c r="F399" s="505"/>
      <c r="G399" s="505"/>
      <c r="H399" s="505"/>
      <c r="I399" s="505"/>
      <c r="J399" s="505"/>
      <c r="K399" s="611" t="s">
        <v>620</v>
      </c>
      <c r="L399" s="427"/>
      <c r="M399" s="427"/>
      <c r="N399" s="427"/>
      <c r="O399" s="426">
        <f>+L399+M399-N399</f>
        <v>0</v>
      </c>
      <c r="P399" s="605"/>
      <c r="Q399" s="606"/>
      <c r="R399" s="607"/>
      <c r="S399" s="427"/>
      <c r="T399" s="427"/>
      <c r="U399" s="608"/>
      <c r="V399" s="737">
        <v>0</v>
      </c>
      <c r="W399" s="427"/>
      <c r="X399" s="522"/>
      <c r="Y399" s="522"/>
      <c r="Z399" s="738">
        <f t="shared" si="277"/>
        <v>0</v>
      </c>
      <c r="AA399" s="739">
        <f t="shared" si="278"/>
        <v>0</v>
      </c>
    </row>
    <row r="400" spans="1:27" ht="22.5" customHeight="1" thickTop="1" thickBot="1" x14ac:dyDescent="0.3">
      <c r="A400" s="425">
        <v>1</v>
      </c>
      <c r="B400" s="505" t="s">
        <v>216</v>
      </c>
      <c r="C400" s="505" t="s">
        <v>227</v>
      </c>
      <c r="D400" s="505" t="s">
        <v>376</v>
      </c>
      <c r="E400" s="505" t="s">
        <v>313</v>
      </c>
      <c r="F400" s="505"/>
      <c r="G400" s="505"/>
      <c r="H400" s="505"/>
      <c r="I400" s="505"/>
      <c r="J400" s="505"/>
      <c r="K400" s="611" t="s">
        <v>621</v>
      </c>
      <c r="L400" s="427"/>
      <c r="M400" s="427"/>
      <c r="N400" s="427"/>
      <c r="O400" s="426">
        <f>+L400+M400-N400</f>
        <v>0</v>
      </c>
      <c r="P400" s="605"/>
      <c r="Q400" s="606"/>
      <c r="R400" s="607"/>
      <c r="S400" s="427"/>
      <c r="T400" s="427"/>
      <c r="U400" s="608"/>
      <c r="V400" s="737">
        <v>0</v>
      </c>
      <c r="W400" s="427"/>
      <c r="X400" s="522"/>
      <c r="Y400" s="522"/>
      <c r="Z400" s="738">
        <f t="shared" si="277"/>
        <v>0</v>
      </c>
      <c r="AA400" s="739">
        <f t="shared" si="278"/>
        <v>0</v>
      </c>
    </row>
    <row r="401" spans="1:27" ht="22.5" customHeight="1" thickTop="1" thickBot="1" x14ac:dyDescent="0.3">
      <c r="A401" s="425">
        <v>1</v>
      </c>
      <c r="B401" s="505" t="s">
        <v>216</v>
      </c>
      <c r="C401" s="505" t="s">
        <v>227</v>
      </c>
      <c r="D401" s="505" t="s">
        <v>376</v>
      </c>
      <c r="E401" s="505" t="s">
        <v>243</v>
      </c>
      <c r="F401" s="505"/>
      <c r="G401" s="505"/>
      <c r="H401" s="505"/>
      <c r="I401" s="505"/>
      <c r="J401" s="505"/>
      <c r="K401" s="502" t="s">
        <v>622</v>
      </c>
      <c r="L401" s="427"/>
      <c r="M401" s="427"/>
      <c r="N401" s="427"/>
      <c r="O401" s="426">
        <f>+L401+M401-N401</f>
        <v>0</v>
      </c>
      <c r="P401" s="605"/>
      <c r="Q401" s="606"/>
      <c r="R401" s="607"/>
      <c r="S401" s="427"/>
      <c r="T401" s="427"/>
      <c r="U401" s="608"/>
      <c r="V401" s="737">
        <v>0</v>
      </c>
      <c r="W401" s="427"/>
      <c r="X401" s="522"/>
      <c r="Y401" s="522"/>
      <c r="Z401" s="738">
        <f t="shared" si="277"/>
        <v>0</v>
      </c>
      <c r="AA401" s="739">
        <f t="shared" si="278"/>
        <v>0</v>
      </c>
    </row>
    <row r="402" spans="1:27" ht="22.5" customHeight="1" thickTop="1" thickBot="1" x14ac:dyDescent="0.3">
      <c r="A402" s="425">
        <v>1</v>
      </c>
      <c r="B402" s="505" t="s">
        <v>216</v>
      </c>
      <c r="C402" s="505" t="s">
        <v>227</v>
      </c>
      <c r="D402" s="505" t="s">
        <v>381</v>
      </c>
      <c r="E402" s="505"/>
      <c r="F402" s="505"/>
      <c r="G402" s="505"/>
      <c r="H402" s="505"/>
      <c r="I402" s="505"/>
      <c r="J402" s="505"/>
      <c r="K402" s="743" t="s">
        <v>623</v>
      </c>
      <c r="L402" s="427">
        <f>+L403+L404</f>
        <v>0</v>
      </c>
      <c r="M402" s="426">
        <f t="shared" ref="M402:U402" si="279">+M403+M404</f>
        <v>37581879572.449997</v>
      </c>
      <c r="N402" s="426">
        <f t="shared" si="279"/>
        <v>0</v>
      </c>
      <c r="O402" s="426">
        <f t="shared" si="279"/>
        <v>37581879572.449997</v>
      </c>
      <c r="P402" s="602">
        <f t="shared" si="279"/>
        <v>0</v>
      </c>
      <c r="Q402" s="603">
        <f>+Q404</f>
        <v>36709979966.369164</v>
      </c>
      <c r="R402" s="604">
        <f t="shared" si="279"/>
        <v>871899606.08083987</v>
      </c>
      <c r="S402" s="427">
        <f t="shared" si="279"/>
        <v>0</v>
      </c>
      <c r="T402" s="427">
        <f t="shared" si="279"/>
        <v>0</v>
      </c>
      <c r="U402" s="601">
        <f t="shared" si="279"/>
        <v>37581879572</v>
      </c>
      <c r="V402" s="737">
        <f t="shared" ref="V402:V404" si="280">+U402/O402</f>
        <v>0.99999999998802624</v>
      </c>
      <c r="W402" s="427"/>
      <c r="X402" s="522"/>
      <c r="Y402" s="522"/>
      <c r="Z402" s="738">
        <f t="shared" si="277"/>
        <v>37581879572.450005</v>
      </c>
      <c r="AA402" s="739">
        <f t="shared" si="278"/>
        <v>0</v>
      </c>
    </row>
    <row r="403" spans="1:27" ht="22.5" customHeight="1" thickTop="1" thickBot="1" x14ac:dyDescent="0.3">
      <c r="A403" s="425">
        <v>1</v>
      </c>
      <c r="B403" s="505" t="s">
        <v>216</v>
      </c>
      <c r="C403" s="505" t="s">
        <v>227</v>
      </c>
      <c r="D403" s="505" t="s">
        <v>381</v>
      </c>
      <c r="E403" s="505" t="s">
        <v>220</v>
      </c>
      <c r="F403" s="505"/>
      <c r="G403" s="505"/>
      <c r="H403" s="505"/>
      <c r="I403" s="505"/>
      <c r="J403" s="505"/>
      <c r="K403" s="502" t="s">
        <v>624</v>
      </c>
      <c r="L403" s="427"/>
      <c r="M403" s="427"/>
      <c r="N403" s="427"/>
      <c r="O403" s="426">
        <f>+L403+M403-N403</f>
        <v>0</v>
      </c>
      <c r="P403" s="605"/>
      <c r="Q403" s="606"/>
      <c r="R403" s="607"/>
      <c r="S403" s="427"/>
      <c r="T403" s="427"/>
      <c r="U403" s="608"/>
      <c r="V403" s="737">
        <v>0</v>
      </c>
      <c r="W403" s="427"/>
      <c r="X403" s="522"/>
      <c r="Y403" s="522"/>
      <c r="Z403" s="738">
        <f t="shared" si="277"/>
        <v>0</v>
      </c>
      <c r="AA403" s="739">
        <f t="shared" si="278"/>
        <v>0</v>
      </c>
    </row>
    <row r="404" spans="1:27" ht="22.5" customHeight="1" thickTop="1" thickBot="1" x14ac:dyDescent="0.3">
      <c r="A404" s="425">
        <v>1</v>
      </c>
      <c r="B404" s="505" t="s">
        <v>216</v>
      </c>
      <c r="C404" s="505" t="s">
        <v>227</v>
      </c>
      <c r="D404" s="505" t="s">
        <v>381</v>
      </c>
      <c r="E404" s="505" t="s">
        <v>231</v>
      </c>
      <c r="F404" s="505"/>
      <c r="G404" s="505"/>
      <c r="H404" s="505"/>
      <c r="I404" s="505"/>
      <c r="J404" s="505"/>
      <c r="K404" s="502" t="s">
        <v>625</v>
      </c>
      <c r="L404" s="427"/>
      <c r="M404" s="427">
        <v>37581879572.449997</v>
      </c>
      <c r="N404" s="427"/>
      <c r="O404" s="744">
        <f>+L404+M404-N404</f>
        <v>37581879572.449997</v>
      </c>
      <c r="P404" s="605">
        <v>0</v>
      </c>
      <c r="Q404" s="606">
        <f>+O404*97.68%</f>
        <v>36709979966.369164</v>
      </c>
      <c r="R404" s="607">
        <f>+O404*2.32%</f>
        <v>871899606.08083987</v>
      </c>
      <c r="S404" s="427"/>
      <c r="T404" s="427"/>
      <c r="U404" s="608">
        <v>37581879572</v>
      </c>
      <c r="V404" s="737">
        <f t="shared" si="280"/>
        <v>0.99999999998802624</v>
      </c>
      <c r="W404" s="427"/>
      <c r="X404" s="522"/>
      <c r="Y404" s="522"/>
      <c r="Z404" s="738">
        <f t="shared" si="277"/>
        <v>37581879572.450005</v>
      </c>
      <c r="AA404" s="739">
        <f t="shared" si="278"/>
        <v>0</v>
      </c>
    </row>
    <row r="405" spans="1:27" ht="22.5" customHeight="1" thickTop="1" thickBot="1" x14ac:dyDescent="0.3">
      <c r="A405" s="425">
        <v>1</v>
      </c>
      <c r="B405" s="505" t="s">
        <v>216</v>
      </c>
      <c r="C405" s="505" t="s">
        <v>227</v>
      </c>
      <c r="D405" s="505" t="s">
        <v>381</v>
      </c>
      <c r="E405" s="505" t="s">
        <v>231</v>
      </c>
      <c r="F405" s="505" t="s">
        <v>220</v>
      </c>
      <c r="G405" s="505"/>
      <c r="H405" s="505"/>
      <c r="I405" s="505"/>
      <c r="J405" s="505"/>
      <c r="K405" s="502" t="s">
        <v>626</v>
      </c>
      <c r="L405" s="427">
        <f>SUM(L406:L437)</f>
        <v>0</v>
      </c>
      <c r="M405" s="427">
        <f t="shared" ref="M405:U405" si="281">SUM(M406:M437)</f>
        <v>0</v>
      </c>
      <c r="N405" s="427">
        <f t="shared" si="281"/>
        <v>0</v>
      </c>
      <c r="O405" s="427">
        <f t="shared" si="281"/>
        <v>0</v>
      </c>
      <c r="P405" s="605">
        <f t="shared" si="281"/>
        <v>0</v>
      </c>
      <c r="Q405" s="606">
        <f t="shared" si="281"/>
        <v>0</v>
      </c>
      <c r="R405" s="607">
        <f t="shared" si="281"/>
        <v>0</v>
      </c>
      <c r="S405" s="427">
        <f t="shared" si="281"/>
        <v>0</v>
      </c>
      <c r="T405" s="427">
        <f t="shared" si="281"/>
        <v>0</v>
      </c>
      <c r="U405" s="608">
        <f t="shared" si="281"/>
        <v>0</v>
      </c>
      <c r="V405" s="427" t="e">
        <f t="shared" si="273"/>
        <v>#DIV/0!</v>
      </c>
      <c r="W405" s="427"/>
      <c r="X405" s="522"/>
      <c r="Y405" s="522"/>
    </row>
    <row r="406" spans="1:27" ht="22.5" customHeight="1" thickTop="1" thickBot="1" x14ac:dyDescent="0.3">
      <c r="A406" s="425">
        <v>1</v>
      </c>
      <c r="B406" s="505" t="s">
        <v>216</v>
      </c>
      <c r="C406" s="505" t="s">
        <v>227</v>
      </c>
      <c r="D406" s="505" t="s">
        <v>381</v>
      </c>
      <c r="E406" s="505" t="s">
        <v>231</v>
      </c>
      <c r="F406" s="505" t="s">
        <v>220</v>
      </c>
      <c r="G406" s="505" t="s">
        <v>220</v>
      </c>
      <c r="H406" s="505"/>
      <c r="I406" s="505"/>
      <c r="J406" s="505"/>
      <c r="K406" s="502" t="s">
        <v>627</v>
      </c>
      <c r="L406" s="427"/>
      <c r="M406" s="427"/>
      <c r="N406" s="427"/>
      <c r="O406" s="426">
        <f t="shared" ref="O406:O437" si="282">+L406+M406-N406</f>
        <v>0</v>
      </c>
      <c r="P406" s="605"/>
      <c r="Q406" s="606"/>
      <c r="R406" s="607"/>
      <c r="S406" s="427"/>
      <c r="T406" s="427"/>
      <c r="U406" s="608"/>
      <c r="V406" s="737">
        <v>0</v>
      </c>
      <c r="W406" s="427"/>
      <c r="X406" s="522"/>
      <c r="Y406" s="522"/>
      <c r="Z406" s="738">
        <f t="shared" ref="Z406:Z437" si="283">SUBTOTAL(9,P406:S406)</f>
        <v>0</v>
      </c>
      <c r="AA406" s="739">
        <f t="shared" ref="AA406:AA437" si="284">+Z406-O406</f>
        <v>0</v>
      </c>
    </row>
    <row r="407" spans="1:27" ht="22.5" customHeight="1" thickTop="1" thickBot="1" x14ac:dyDescent="0.3">
      <c r="A407" s="425">
        <v>1</v>
      </c>
      <c r="B407" s="505" t="s">
        <v>216</v>
      </c>
      <c r="C407" s="505" t="s">
        <v>227</v>
      </c>
      <c r="D407" s="505" t="s">
        <v>381</v>
      </c>
      <c r="E407" s="505" t="s">
        <v>231</v>
      </c>
      <c r="F407" s="505" t="s">
        <v>220</v>
      </c>
      <c r="G407" s="505" t="s">
        <v>231</v>
      </c>
      <c r="H407" s="505"/>
      <c r="I407" s="505"/>
      <c r="J407" s="505"/>
      <c r="K407" s="502" t="s">
        <v>628</v>
      </c>
      <c r="L407" s="427"/>
      <c r="M407" s="427"/>
      <c r="N407" s="427"/>
      <c r="O407" s="426">
        <f t="shared" si="282"/>
        <v>0</v>
      </c>
      <c r="P407" s="605"/>
      <c r="Q407" s="606"/>
      <c r="R407" s="607"/>
      <c r="S407" s="427"/>
      <c r="T407" s="427"/>
      <c r="U407" s="608"/>
      <c r="V407" s="737">
        <v>0</v>
      </c>
      <c r="W407" s="427"/>
      <c r="X407" s="522"/>
      <c r="Y407" s="522"/>
      <c r="Z407" s="738">
        <f t="shared" si="283"/>
        <v>0</v>
      </c>
      <c r="AA407" s="739">
        <f t="shared" si="284"/>
        <v>0</v>
      </c>
    </row>
    <row r="408" spans="1:27" ht="22.5" customHeight="1" thickTop="1" thickBot="1" x14ac:dyDescent="0.3">
      <c r="A408" s="425">
        <v>1</v>
      </c>
      <c r="B408" s="505" t="s">
        <v>216</v>
      </c>
      <c r="C408" s="505" t="s">
        <v>227</v>
      </c>
      <c r="D408" s="505" t="s">
        <v>381</v>
      </c>
      <c r="E408" s="505" t="s">
        <v>231</v>
      </c>
      <c r="F408" s="505" t="s">
        <v>220</v>
      </c>
      <c r="G408" s="505" t="s">
        <v>305</v>
      </c>
      <c r="H408" s="505"/>
      <c r="I408" s="505"/>
      <c r="J408" s="505"/>
      <c r="K408" s="502" t="s">
        <v>629</v>
      </c>
      <c r="L408" s="427"/>
      <c r="M408" s="427"/>
      <c r="N408" s="427"/>
      <c r="O408" s="426">
        <f t="shared" si="282"/>
        <v>0</v>
      </c>
      <c r="P408" s="605"/>
      <c r="Q408" s="606"/>
      <c r="R408" s="607"/>
      <c r="S408" s="427"/>
      <c r="T408" s="427"/>
      <c r="U408" s="608"/>
      <c r="V408" s="737">
        <v>0</v>
      </c>
      <c r="W408" s="427"/>
      <c r="X408" s="522"/>
      <c r="Y408" s="522"/>
      <c r="Z408" s="738">
        <f t="shared" si="283"/>
        <v>0</v>
      </c>
      <c r="AA408" s="739">
        <f t="shared" si="284"/>
        <v>0</v>
      </c>
    </row>
    <row r="409" spans="1:27" ht="22.5" customHeight="1" thickTop="1" thickBot="1" x14ac:dyDescent="0.3">
      <c r="A409" s="425">
        <v>1</v>
      </c>
      <c r="B409" s="505" t="s">
        <v>216</v>
      </c>
      <c r="C409" s="505" t="s">
        <v>227</v>
      </c>
      <c r="D409" s="505" t="s">
        <v>381</v>
      </c>
      <c r="E409" s="505" t="s">
        <v>231</v>
      </c>
      <c r="F409" s="505" t="s">
        <v>220</v>
      </c>
      <c r="G409" s="505" t="s">
        <v>313</v>
      </c>
      <c r="H409" s="505"/>
      <c r="I409" s="505"/>
      <c r="J409" s="505"/>
      <c r="K409" s="502" t="s">
        <v>630</v>
      </c>
      <c r="L409" s="427"/>
      <c r="M409" s="427"/>
      <c r="N409" s="427"/>
      <c r="O409" s="426">
        <f t="shared" si="282"/>
        <v>0</v>
      </c>
      <c r="P409" s="605"/>
      <c r="Q409" s="606"/>
      <c r="R409" s="607"/>
      <c r="S409" s="427"/>
      <c r="T409" s="427"/>
      <c r="U409" s="608"/>
      <c r="V409" s="737">
        <v>0</v>
      </c>
      <c r="W409" s="427"/>
      <c r="X409" s="522"/>
      <c r="Y409" s="522"/>
      <c r="Z409" s="738">
        <f t="shared" si="283"/>
        <v>0</v>
      </c>
      <c r="AA409" s="739">
        <f t="shared" si="284"/>
        <v>0</v>
      </c>
    </row>
    <row r="410" spans="1:27" ht="22.5" customHeight="1" thickTop="1" thickBot="1" x14ac:dyDescent="0.3">
      <c r="A410" s="425">
        <v>1</v>
      </c>
      <c r="B410" s="505" t="s">
        <v>216</v>
      </c>
      <c r="C410" s="505" t="s">
        <v>227</v>
      </c>
      <c r="D410" s="505" t="s">
        <v>381</v>
      </c>
      <c r="E410" s="505" t="s">
        <v>231</v>
      </c>
      <c r="F410" s="505" t="s">
        <v>220</v>
      </c>
      <c r="G410" s="505" t="s">
        <v>243</v>
      </c>
      <c r="H410" s="505"/>
      <c r="I410" s="505"/>
      <c r="J410" s="505"/>
      <c r="K410" s="502" t="s">
        <v>631</v>
      </c>
      <c r="L410" s="427"/>
      <c r="M410" s="427"/>
      <c r="N410" s="427"/>
      <c r="O410" s="426">
        <f t="shared" si="282"/>
        <v>0</v>
      </c>
      <c r="P410" s="605"/>
      <c r="Q410" s="606"/>
      <c r="R410" s="607"/>
      <c r="S410" s="427"/>
      <c r="T410" s="427"/>
      <c r="U410" s="608"/>
      <c r="V410" s="737">
        <v>0</v>
      </c>
      <c r="W410" s="427"/>
      <c r="X410" s="522"/>
      <c r="Y410" s="522"/>
      <c r="Z410" s="738">
        <f t="shared" si="283"/>
        <v>0</v>
      </c>
      <c r="AA410" s="739">
        <f t="shared" si="284"/>
        <v>0</v>
      </c>
    </row>
    <row r="411" spans="1:27" ht="22.5" customHeight="1" thickTop="1" thickBot="1" x14ac:dyDescent="0.3">
      <c r="A411" s="425">
        <v>1</v>
      </c>
      <c r="B411" s="505" t="s">
        <v>216</v>
      </c>
      <c r="C411" s="505" t="s">
        <v>227</v>
      </c>
      <c r="D411" s="505" t="s">
        <v>381</v>
      </c>
      <c r="E411" s="505" t="s">
        <v>231</v>
      </c>
      <c r="F411" s="505" t="s">
        <v>220</v>
      </c>
      <c r="G411" s="505" t="s">
        <v>361</v>
      </c>
      <c r="H411" s="505"/>
      <c r="I411" s="505"/>
      <c r="J411" s="505"/>
      <c r="K411" s="502" t="s">
        <v>632</v>
      </c>
      <c r="L411" s="427"/>
      <c r="M411" s="427"/>
      <c r="N411" s="427"/>
      <c r="O411" s="426">
        <f t="shared" si="282"/>
        <v>0</v>
      </c>
      <c r="P411" s="605"/>
      <c r="Q411" s="606"/>
      <c r="R411" s="607"/>
      <c r="S411" s="427"/>
      <c r="T411" s="427"/>
      <c r="U411" s="608"/>
      <c r="V411" s="737">
        <v>0</v>
      </c>
      <c r="W411" s="427"/>
      <c r="X411" s="522"/>
      <c r="Y411" s="522"/>
      <c r="Z411" s="738">
        <f t="shared" si="283"/>
        <v>0</v>
      </c>
      <c r="AA411" s="739">
        <f t="shared" si="284"/>
        <v>0</v>
      </c>
    </row>
    <row r="412" spans="1:27" ht="22.5" customHeight="1" thickTop="1" thickBot="1" x14ac:dyDescent="0.3">
      <c r="A412" s="425">
        <v>1</v>
      </c>
      <c r="B412" s="505" t="s">
        <v>216</v>
      </c>
      <c r="C412" s="505" t="s">
        <v>227</v>
      </c>
      <c r="D412" s="505" t="s">
        <v>381</v>
      </c>
      <c r="E412" s="505" t="s">
        <v>231</v>
      </c>
      <c r="F412" s="505" t="s">
        <v>220</v>
      </c>
      <c r="G412" s="505" t="s">
        <v>366</v>
      </c>
      <c r="H412" s="505"/>
      <c r="I412" s="505"/>
      <c r="J412" s="505"/>
      <c r="K412" s="502" t="s">
        <v>633</v>
      </c>
      <c r="L412" s="427"/>
      <c r="M412" s="427"/>
      <c r="N412" s="427"/>
      <c r="O412" s="426">
        <f t="shared" si="282"/>
        <v>0</v>
      </c>
      <c r="P412" s="605"/>
      <c r="Q412" s="606"/>
      <c r="R412" s="607"/>
      <c r="S412" s="427"/>
      <c r="T412" s="427"/>
      <c r="U412" s="608"/>
      <c r="V412" s="737">
        <v>0</v>
      </c>
      <c r="W412" s="427"/>
      <c r="X412" s="522"/>
      <c r="Y412" s="522"/>
      <c r="Z412" s="738">
        <f t="shared" si="283"/>
        <v>0</v>
      </c>
      <c r="AA412" s="739">
        <f t="shared" si="284"/>
        <v>0</v>
      </c>
    </row>
    <row r="413" spans="1:27" ht="22.5" customHeight="1" thickTop="1" thickBot="1" x14ac:dyDescent="0.3">
      <c r="A413" s="425">
        <v>1</v>
      </c>
      <c r="B413" s="505" t="s">
        <v>216</v>
      </c>
      <c r="C413" s="505" t="s">
        <v>227</v>
      </c>
      <c r="D413" s="505" t="s">
        <v>381</v>
      </c>
      <c r="E413" s="505" t="s">
        <v>231</v>
      </c>
      <c r="F413" s="505" t="s">
        <v>220</v>
      </c>
      <c r="G413" s="505" t="s">
        <v>371</v>
      </c>
      <c r="H413" s="505"/>
      <c r="I413" s="505"/>
      <c r="J413" s="505"/>
      <c r="K413" s="502" t="s">
        <v>634</v>
      </c>
      <c r="L413" s="427"/>
      <c r="M413" s="427"/>
      <c r="N413" s="427"/>
      <c r="O413" s="426">
        <f t="shared" si="282"/>
        <v>0</v>
      </c>
      <c r="P413" s="605"/>
      <c r="Q413" s="606"/>
      <c r="R413" s="607"/>
      <c r="S413" s="427"/>
      <c r="T413" s="427"/>
      <c r="U413" s="608"/>
      <c r="V413" s="737">
        <v>0</v>
      </c>
      <c r="W413" s="427"/>
      <c r="X413" s="522"/>
      <c r="Y413" s="522"/>
      <c r="Z413" s="738">
        <f t="shared" si="283"/>
        <v>0</v>
      </c>
      <c r="AA413" s="739">
        <f t="shared" si="284"/>
        <v>0</v>
      </c>
    </row>
    <row r="414" spans="1:27" ht="22.5" customHeight="1" thickTop="1" thickBot="1" x14ac:dyDescent="0.3">
      <c r="A414" s="425">
        <v>1</v>
      </c>
      <c r="B414" s="505" t="s">
        <v>216</v>
      </c>
      <c r="C414" s="505" t="s">
        <v>227</v>
      </c>
      <c r="D414" s="505" t="s">
        <v>381</v>
      </c>
      <c r="E414" s="505" t="s">
        <v>231</v>
      </c>
      <c r="F414" s="505" t="s">
        <v>220</v>
      </c>
      <c r="G414" s="505" t="s">
        <v>376</v>
      </c>
      <c r="H414" s="505"/>
      <c r="I414" s="505"/>
      <c r="J414" s="505"/>
      <c r="K414" s="502" t="s">
        <v>635</v>
      </c>
      <c r="L414" s="427"/>
      <c r="M414" s="427"/>
      <c r="N414" s="427"/>
      <c r="O414" s="426">
        <f t="shared" si="282"/>
        <v>0</v>
      </c>
      <c r="P414" s="605"/>
      <c r="Q414" s="606"/>
      <c r="R414" s="607"/>
      <c r="S414" s="427"/>
      <c r="T414" s="427"/>
      <c r="U414" s="608"/>
      <c r="V414" s="737">
        <v>0</v>
      </c>
      <c r="W414" s="427"/>
      <c r="X414" s="522"/>
      <c r="Y414" s="522"/>
      <c r="Z414" s="738">
        <f t="shared" si="283"/>
        <v>0</v>
      </c>
      <c r="AA414" s="739">
        <f t="shared" si="284"/>
        <v>0</v>
      </c>
    </row>
    <row r="415" spans="1:27" ht="22.5" customHeight="1" thickTop="1" thickBot="1" x14ac:dyDescent="0.3">
      <c r="A415" s="425">
        <v>1</v>
      </c>
      <c r="B415" s="505" t="s">
        <v>216</v>
      </c>
      <c r="C415" s="505" t="s">
        <v>227</v>
      </c>
      <c r="D415" s="505" t="s">
        <v>381</v>
      </c>
      <c r="E415" s="505" t="s">
        <v>231</v>
      </c>
      <c r="F415" s="505" t="s">
        <v>220</v>
      </c>
      <c r="G415" s="505" t="s">
        <v>381</v>
      </c>
      <c r="H415" s="505"/>
      <c r="I415" s="505"/>
      <c r="J415" s="505"/>
      <c r="K415" s="502" t="s">
        <v>636</v>
      </c>
      <c r="L415" s="427"/>
      <c r="M415" s="427"/>
      <c r="N415" s="427"/>
      <c r="O415" s="426">
        <f t="shared" si="282"/>
        <v>0</v>
      </c>
      <c r="P415" s="605"/>
      <c r="Q415" s="606"/>
      <c r="R415" s="607"/>
      <c r="S415" s="427"/>
      <c r="T415" s="427"/>
      <c r="U415" s="608"/>
      <c r="V415" s="737">
        <v>0</v>
      </c>
      <c r="W415" s="427"/>
      <c r="X415" s="522"/>
      <c r="Y415" s="522"/>
      <c r="Z415" s="738">
        <f t="shared" si="283"/>
        <v>0</v>
      </c>
      <c r="AA415" s="739">
        <f t="shared" si="284"/>
        <v>0</v>
      </c>
    </row>
    <row r="416" spans="1:27" ht="22.5" customHeight="1" thickTop="1" thickBot="1" x14ac:dyDescent="0.3">
      <c r="A416" s="425">
        <v>1</v>
      </c>
      <c r="B416" s="505" t="s">
        <v>216</v>
      </c>
      <c r="C416" s="505" t="s">
        <v>227</v>
      </c>
      <c r="D416" s="505" t="s">
        <v>381</v>
      </c>
      <c r="E416" s="505" t="s">
        <v>231</v>
      </c>
      <c r="F416" s="505" t="s">
        <v>220</v>
      </c>
      <c r="G416" s="505" t="s">
        <v>531</v>
      </c>
      <c r="H416" s="505"/>
      <c r="I416" s="505"/>
      <c r="J416" s="505"/>
      <c r="K416" s="502" t="s">
        <v>637</v>
      </c>
      <c r="L416" s="427"/>
      <c r="M416" s="427"/>
      <c r="N416" s="427"/>
      <c r="O416" s="426">
        <f t="shared" si="282"/>
        <v>0</v>
      </c>
      <c r="P416" s="605"/>
      <c r="Q416" s="606"/>
      <c r="R416" s="607"/>
      <c r="S416" s="427"/>
      <c r="T416" s="427"/>
      <c r="U416" s="608"/>
      <c r="V416" s="737">
        <v>0</v>
      </c>
      <c r="W416" s="427"/>
      <c r="X416" s="522"/>
      <c r="Y416" s="522"/>
      <c r="Z416" s="738">
        <f t="shared" si="283"/>
        <v>0</v>
      </c>
      <c r="AA416" s="739">
        <f t="shared" si="284"/>
        <v>0</v>
      </c>
    </row>
    <row r="417" spans="1:27" ht="22.5" customHeight="1" thickTop="1" thickBot="1" x14ac:dyDescent="0.3">
      <c r="A417" s="425">
        <v>1</v>
      </c>
      <c r="B417" s="505" t="s">
        <v>216</v>
      </c>
      <c r="C417" s="505" t="s">
        <v>227</v>
      </c>
      <c r="D417" s="505" t="s">
        <v>381</v>
      </c>
      <c r="E417" s="505" t="s">
        <v>231</v>
      </c>
      <c r="F417" s="505" t="s">
        <v>220</v>
      </c>
      <c r="G417" s="505" t="s">
        <v>533</v>
      </c>
      <c r="H417" s="505"/>
      <c r="I417" s="505"/>
      <c r="J417" s="505"/>
      <c r="K417" s="502" t="s">
        <v>638</v>
      </c>
      <c r="L417" s="427"/>
      <c r="M417" s="427"/>
      <c r="N417" s="427"/>
      <c r="O417" s="426">
        <f t="shared" si="282"/>
        <v>0</v>
      </c>
      <c r="P417" s="605"/>
      <c r="Q417" s="606"/>
      <c r="R417" s="607"/>
      <c r="S417" s="427"/>
      <c r="T417" s="427"/>
      <c r="U417" s="608"/>
      <c r="V417" s="737">
        <v>0</v>
      </c>
      <c r="W417" s="427"/>
      <c r="X417" s="522"/>
      <c r="Y417" s="522"/>
      <c r="Z417" s="738">
        <f t="shared" si="283"/>
        <v>0</v>
      </c>
      <c r="AA417" s="739">
        <f t="shared" si="284"/>
        <v>0</v>
      </c>
    </row>
    <row r="418" spans="1:27" ht="22.5" customHeight="1" thickTop="1" thickBot="1" x14ac:dyDescent="0.3">
      <c r="A418" s="425">
        <v>1</v>
      </c>
      <c r="B418" s="505" t="s">
        <v>216</v>
      </c>
      <c r="C418" s="505" t="s">
        <v>227</v>
      </c>
      <c r="D418" s="505" t="s">
        <v>381</v>
      </c>
      <c r="E418" s="505" t="s">
        <v>231</v>
      </c>
      <c r="F418" s="505" t="s">
        <v>220</v>
      </c>
      <c r="G418" s="505" t="s">
        <v>322</v>
      </c>
      <c r="H418" s="505"/>
      <c r="I418" s="505"/>
      <c r="J418" s="505"/>
      <c r="K418" s="502" t="s">
        <v>639</v>
      </c>
      <c r="L418" s="427"/>
      <c r="M418" s="427"/>
      <c r="N418" s="427"/>
      <c r="O418" s="426">
        <f t="shared" si="282"/>
        <v>0</v>
      </c>
      <c r="P418" s="605"/>
      <c r="Q418" s="606"/>
      <c r="R418" s="607"/>
      <c r="S418" s="427"/>
      <c r="T418" s="427"/>
      <c r="U418" s="608"/>
      <c r="V418" s="737">
        <v>0</v>
      </c>
      <c r="W418" s="427"/>
      <c r="X418" s="522"/>
      <c r="Y418" s="522"/>
      <c r="Z418" s="738">
        <f t="shared" si="283"/>
        <v>0</v>
      </c>
      <c r="AA418" s="739">
        <f t="shared" si="284"/>
        <v>0</v>
      </c>
    </row>
    <row r="419" spans="1:27" ht="22.5" customHeight="1" thickTop="1" thickBot="1" x14ac:dyDescent="0.3">
      <c r="A419" s="425">
        <v>1</v>
      </c>
      <c r="B419" s="505" t="s">
        <v>216</v>
      </c>
      <c r="C419" s="505" t="s">
        <v>227</v>
      </c>
      <c r="D419" s="505" t="s">
        <v>381</v>
      </c>
      <c r="E419" s="505" t="s">
        <v>231</v>
      </c>
      <c r="F419" s="505" t="s">
        <v>220</v>
      </c>
      <c r="G419" s="505" t="s">
        <v>394</v>
      </c>
      <c r="H419" s="505"/>
      <c r="I419" s="505"/>
      <c r="J419" s="505"/>
      <c r="K419" s="502" t="s">
        <v>640</v>
      </c>
      <c r="L419" s="427"/>
      <c r="M419" s="427"/>
      <c r="N419" s="427"/>
      <c r="O419" s="426">
        <f t="shared" si="282"/>
        <v>0</v>
      </c>
      <c r="P419" s="605"/>
      <c r="Q419" s="606"/>
      <c r="R419" s="607"/>
      <c r="S419" s="427"/>
      <c r="T419" s="427"/>
      <c r="U419" s="608"/>
      <c r="V419" s="737">
        <v>0</v>
      </c>
      <c r="W419" s="427"/>
      <c r="X419" s="522"/>
      <c r="Y419" s="522"/>
      <c r="Z419" s="738">
        <f t="shared" si="283"/>
        <v>0</v>
      </c>
      <c r="AA419" s="739">
        <f t="shared" si="284"/>
        <v>0</v>
      </c>
    </row>
    <row r="420" spans="1:27" ht="22.5" customHeight="1" thickTop="1" thickBot="1" x14ac:dyDescent="0.3">
      <c r="A420" s="425">
        <v>1</v>
      </c>
      <c r="B420" s="505" t="s">
        <v>216</v>
      </c>
      <c r="C420" s="505" t="s">
        <v>227</v>
      </c>
      <c r="D420" s="505" t="s">
        <v>381</v>
      </c>
      <c r="E420" s="505" t="s">
        <v>231</v>
      </c>
      <c r="F420" s="505" t="s">
        <v>220</v>
      </c>
      <c r="G420" s="505" t="s">
        <v>537</v>
      </c>
      <c r="H420" s="505"/>
      <c r="I420" s="505"/>
      <c r="J420" s="505"/>
      <c r="K420" s="502" t="s">
        <v>641</v>
      </c>
      <c r="L420" s="427"/>
      <c r="M420" s="427"/>
      <c r="N420" s="427"/>
      <c r="O420" s="426">
        <f t="shared" si="282"/>
        <v>0</v>
      </c>
      <c r="P420" s="605"/>
      <c r="Q420" s="606"/>
      <c r="R420" s="607"/>
      <c r="S420" s="427"/>
      <c r="T420" s="427"/>
      <c r="U420" s="608"/>
      <c r="V420" s="737">
        <v>0</v>
      </c>
      <c r="W420" s="427"/>
      <c r="X420" s="522"/>
      <c r="Y420" s="522"/>
      <c r="Z420" s="738">
        <f t="shared" si="283"/>
        <v>0</v>
      </c>
      <c r="AA420" s="739">
        <f t="shared" si="284"/>
        <v>0</v>
      </c>
    </row>
    <row r="421" spans="1:27" ht="22.5" customHeight="1" thickTop="1" thickBot="1" x14ac:dyDescent="0.3">
      <c r="A421" s="425">
        <v>1</v>
      </c>
      <c r="B421" s="505" t="s">
        <v>216</v>
      </c>
      <c r="C421" s="505" t="s">
        <v>227</v>
      </c>
      <c r="D421" s="505" t="s">
        <v>381</v>
      </c>
      <c r="E421" s="505" t="s">
        <v>231</v>
      </c>
      <c r="F421" s="505" t="s">
        <v>220</v>
      </c>
      <c r="G421" s="505" t="s">
        <v>539</v>
      </c>
      <c r="H421" s="505"/>
      <c r="I421" s="505"/>
      <c r="J421" s="505"/>
      <c r="K421" s="502" t="s">
        <v>642</v>
      </c>
      <c r="L421" s="427"/>
      <c r="M421" s="427"/>
      <c r="N421" s="427"/>
      <c r="O421" s="426">
        <f t="shared" si="282"/>
        <v>0</v>
      </c>
      <c r="P421" s="605"/>
      <c r="Q421" s="606"/>
      <c r="R421" s="607"/>
      <c r="S421" s="427"/>
      <c r="T421" s="427"/>
      <c r="U421" s="608"/>
      <c r="V421" s="737">
        <v>0</v>
      </c>
      <c r="W421" s="427"/>
      <c r="X421" s="522"/>
      <c r="Y421" s="522"/>
      <c r="Z421" s="738">
        <f t="shared" si="283"/>
        <v>0</v>
      </c>
      <c r="AA421" s="739">
        <f t="shared" si="284"/>
        <v>0</v>
      </c>
    </row>
    <row r="422" spans="1:27" ht="22.5" customHeight="1" thickTop="1" thickBot="1" x14ac:dyDescent="0.3">
      <c r="A422" s="425">
        <v>1</v>
      </c>
      <c r="B422" s="505" t="s">
        <v>216</v>
      </c>
      <c r="C422" s="505" t="s">
        <v>227</v>
      </c>
      <c r="D422" s="505" t="s">
        <v>381</v>
      </c>
      <c r="E422" s="505" t="s">
        <v>231</v>
      </c>
      <c r="F422" s="505" t="s">
        <v>220</v>
      </c>
      <c r="G422" s="505" t="s">
        <v>541</v>
      </c>
      <c r="H422" s="505"/>
      <c r="I422" s="505"/>
      <c r="J422" s="505"/>
      <c r="K422" s="502" t="s">
        <v>643</v>
      </c>
      <c r="L422" s="427"/>
      <c r="M422" s="427"/>
      <c r="N422" s="427"/>
      <c r="O422" s="426">
        <f t="shared" si="282"/>
        <v>0</v>
      </c>
      <c r="P422" s="605"/>
      <c r="Q422" s="606"/>
      <c r="R422" s="607"/>
      <c r="S422" s="427"/>
      <c r="T422" s="427"/>
      <c r="U422" s="608"/>
      <c r="V422" s="737">
        <v>0</v>
      </c>
      <c r="W422" s="427"/>
      <c r="X422" s="522"/>
      <c r="Y422" s="522"/>
      <c r="Z422" s="738">
        <f t="shared" si="283"/>
        <v>0</v>
      </c>
      <c r="AA422" s="739">
        <f t="shared" si="284"/>
        <v>0</v>
      </c>
    </row>
    <row r="423" spans="1:27" ht="22.5" customHeight="1" thickTop="1" thickBot="1" x14ac:dyDescent="0.3">
      <c r="A423" s="425">
        <v>1</v>
      </c>
      <c r="B423" s="505" t="s">
        <v>216</v>
      </c>
      <c r="C423" s="505" t="s">
        <v>227</v>
      </c>
      <c r="D423" s="505" t="s">
        <v>381</v>
      </c>
      <c r="E423" s="505" t="s">
        <v>231</v>
      </c>
      <c r="F423" s="505" t="s">
        <v>220</v>
      </c>
      <c r="G423" s="505" t="s">
        <v>543</v>
      </c>
      <c r="H423" s="505"/>
      <c r="I423" s="505"/>
      <c r="J423" s="505"/>
      <c r="K423" s="502" t="s">
        <v>644</v>
      </c>
      <c r="L423" s="427"/>
      <c r="M423" s="427"/>
      <c r="N423" s="427"/>
      <c r="O423" s="426">
        <f t="shared" si="282"/>
        <v>0</v>
      </c>
      <c r="P423" s="605"/>
      <c r="Q423" s="606"/>
      <c r="R423" s="607"/>
      <c r="S423" s="427"/>
      <c r="T423" s="427"/>
      <c r="U423" s="608"/>
      <c r="V423" s="737">
        <v>0</v>
      </c>
      <c r="W423" s="427"/>
      <c r="X423" s="522"/>
      <c r="Y423" s="522"/>
      <c r="Z423" s="738">
        <f t="shared" si="283"/>
        <v>0</v>
      </c>
      <c r="AA423" s="739">
        <f t="shared" si="284"/>
        <v>0</v>
      </c>
    </row>
    <row r="424" spans="1:27" ht="22.5" customHeight="1" thickTop="1" thickBot="1" x14ac:dyDescent="0.3">
      <c r="A424" s="425">
        <v>1</v>
      </c>
      <c r="B424" s="505" t="s">
        <v>216</v>
      </c>
      <c r="C424" s="505" t="s">
        <v>227</v>
      </c>
      <c r="D424" s="505" t="s">
        <v>381</v>
      </c>
      <c r="E424" s="505" t="s">
        <v>231</v>
      </c>
      <c r="F424" s="505" t="s">
        <v>220</v>
      </c>
      <c r="G424" s="505" t="s">
        <v>545</v>
      </c>
      <c r="H424" s="505"/>
      <c r="I424" s="505"/>
      <c r="J424" s="505"/>
      <c r="K424" s="502" t="s">
        <v>645</v>
      </c>
      <c r="L424" s="427"/>
      <c r="M424" s="427"/>
      <c r="N424" s="427"/>
      <c r="O424" s="426">
        <f t="shared" si="282"/>
        <v>0</v>
      </c>
      <c r="P424" s="605"/>
      <c r="Q424" s="606"/>
      <c r="R424" s="607"/>
      <c r="S424" s="427"/>
      <c r="T424" s="427"/>
      <c r="U424" s="608"/>
      <c r="V424" s="737">
        <v>0</v>
      </c>
      <c r="W424" s="427"/>
      <c r="X424" s="522"/>
      <c r="Y424" s="522"/>
      <c r="Z424" s="738">
        <f t="shared" si="283"/>
        <v>0</v>
      </c>
      <c r="AA424" s="739">
        <f t="shared" si="284"/>
        <v>0</v>
      </c>
    </row>
    <row r="425" spans="1:27" ht="22.5" customHeight="1" thickTop="1" thickBot="1" x14ac:dyDescent="0.3">
      <c r="A425" s="425">
        <v>1</v>
      </c>
      <c r="B425" s="505" t="s">
        <v>216</v>
      </c>
      <c r="C425" s="505" t="s">
        <v>227</v>
      </c>
      <c r="D425" s="505" t="s">
        <v>381</v>
      </c>
      <c r="E425" s="505" t="s">
        <v>231</v>
      </c>
      <c r="F425" s="505" t="s">
        <v>220</v>
      </c>
      <c r="G425" s="505" t="s">
        <v>547</v>
      </c>
      <c r="H425" s="505"/>
      <c r="I425" s="505"/>
      <c r="J425" s="505"/>
      <c r="K425" s="502" t="s">
        <v>646</v>
      </c>
      <c r="L425" s="427"/>
      <c r="M425" s="427"/>
      <c r="N425" s="427"/>
      <c r="O425" s="426">
        <f t="shared" si="282"/>
        <v>0</v>
      </c>
      <c r="P425" s="605"/>
      <c r="Q425" s="606"/>
      <c r="R425" s="607"/>
      <c r="S425" s="427"/>
      <c r="T425" s="427"/>
      <c r="U425" s="608"/>
      <c r="V425" s="737">
        <v>0</v>
      </c>
      <c r="W425" s="427"/>
      <c r="X425" s="522"/>
      <c r="Y425" s="522"/>
      <c r="Z425" s="738">
        <f t="shared" si="283"/>
        <v>0</v>
      </c>
      <c r="AA425" s="739">
        <f t="shared" si="284"/>
        <v>0</v>
      </c>
    </row>
    <row r="426" spans="1:27" ht="22.5" customHeight="1" thickTop="1" thickBot="1" x14ac:dyDescent="0.3">
      <c r="A426" s="425">
        <v>1</v>
      </c>
      <c r="B426" s="505" t="s">
        <v>216</v>
      </c>
      <c r="C426" s="505" t="s">
        <v>227</v>
      </c>
      <c r="D426" s="505" t="s">
        <v>381</v>
      </c>
      <c r="E426" s="505" t="s">
        <v>231</v>
      </c>
      <c r="F426" s="505" t="s">
        <v>220</v>
      </c>
      <c r="G426" s="505" t="s">
        <v>549</v>
      </c>
      <c r="H426" s="505"/>
      <c r="I426" s="505"/>
      <c r="J426" s="505"/>
      <c r="K426" s="502" t="s">
        <v>647</v>
      </c>
      <c r="L426" s="427"/>
      <c r="M426" s="427"/>
      <c r="N426" s="427"/>
      <c r="O426" s="426">
        <f t="shared" si="282"/>
        <v>0</v>
      </c>
      <c r="P426" s="605"/>
      <c r="Q426" s="606"/>
      <c r="R426" s="607"/>
      <c r="S426" s="427"/>
      <c r="T426" s="427"/>
      <c r="U426" s="608"/>
      <c r="V426" s="737">
        <v>0</v>
      </c>
      <c r="W426" s="427"/>
      <c r="X426" s="522"/>
      <c r="Y426" s="522"/>
      <c r="Z426" s="738">
        <f t="shared" si="283"/>
        <v>0</v>
      </c>
      <c r="AA426" s="739">
        <f t="shared" si="284"/>
        <v>0</v>
      </c>
    </row>
    <row r="427" spans="1:27" ht="22.5" customHeight="1" thickTop="1" thickBot="1" x14ac:dyDescent="0.3">
      <c r="A427" s="425">
        <v>1</v>
      </c>
      <c r="B427" s="505" t="s">
        <v>216</v>
      </c>
      <c r="C427" s="505" t="s">
        <v>227</v>
      </c>
      <c r="D427" s="505" t="s">
        <v>381</v>
      </c>
      <c r="E427" s="505" t="s">
        <v>231</v>
      </c>
      <c r="F427" s="505" t="s">
        <v>220</v>
      </c>
      <c r="G427" s="505" t="s">
        <v>327</v>
      </c>
      <c r="H427" s="505"/>
      <c r="I427" s="505"/>
      <c r="J427" s="505"/>
      <c r="K427" s="502" t="s">
        <v>648</v>
      </c>
      <c r="L427" s="427"/>
      <c r="M427" s="427"/>
      <c r="N427" s="427"/>
      <c r="O427" s="426">
        <f t="shared" si="282"/>
        <v>0</v>
      </c>
      <c r="P427" s="605"/>
      <c r="Q427" s="606"/>
      <c r="R427" s="607"/>
      <c r="S427" s="427"/>
      <c r="T427" s="427"/>
      <c r="U427" s="608"/>
      <c r="V427" s="737">
        <v>0</v>
      </c>
      <c r="W427" s="427"/>
      <c r="X427" s="522"/>
      <c r="Y427" s="522"/>
      <c r="Z427" s="738">
        <f t="shared" si="283"/>
        <v>0</v>
      </c>
      <c r="AA427" s="739">
        <f t="shared" si="284"/>
        <v>0</v>
      </c>
    </row>
    <row r="428" spans="1:27" ht="22.5" customHeight="1" thickTop="1" thickBot="1" x14ac:dyDescent="0.3">
      <c r="A428" s="425">
        <v>1</v>
      </c>
      <c r="B428" s="505" t="s">
        <v>216</v>
      </c>
      <c r="C428" s="505" t="s">
        <v>227</v>
      </c>
      <c r="D428" s="505" t="s">
        <v>381</v>
      </c>
      <c r="E428" s="505" t="s">
        <v>231</v>
      </c>
      <c r="F428" s="505" t="s">
        <v>220</v>
      </c>
      <c r="G428" s="505" t="s">
        <v>552</v>
      </c>
      <c r="H428" s="505"/>
      <c r="I428" s="505"/>
      <c r="J428" s="505"/>
      <c r="K428" s="502" t="s">
        <v>649</v>
      </c>
      <c r="L428" s="427"/>
      <c r="M428" s="427"/>
      <c r="N428" s="427"/>
      <c r="O428" s="426">
        <f t="shared" si="282"/>
        <v>0</v>
      </c>
      <c r="P428" s="605"/>
      <c r="Q428" s="606"/>
      <c r="R428" s="607"/>
      <c r="S428" s="427"/>
      <c r="T428" s="427"/>
      <c r="U428" s="608"/>
      <c r="V428" s="737">
        <v>0</v>
      </c>
      <c r="W428" s="427"/>
      <c r="X428" s="522"/>
      <c r="Y428" s="522"/>
      <c r="Z428" s="738">
        <f t="shared" si="283"/>
        <v>0</v>
      </c>
      <c r="AA428" s="739">
        <f t="shared" si="284"/>
        <v>0</v>
      </c>
    </row>
    <row r="429" spans="1:27" ht="22.5" customHeight="1" thickTop="1" thickBot="1" x14ac:dyDescent="0.3">
      <c r="A429" s="425">
        <v>1</v>
      </c>
      <c r="B429" s="505" t="s">
        <v>216</v>
      </c>
      <c r="C429" s="505" t="s">
        <v>227</v>
      </c>
      <c r="D429" s="505" t="s">
        <v>381</v>
      </c>
      <c r="E429" s="505" t="s">
        <v>231</v>
      </c>
      <c r="F429" s="505" t="s">
        <v>220</v>
      </c>
      <c r="G429" s="505" t="s">
        <v>554</v>
      </c>
      <c r="H429" s="505"/>
      <c r="I429" s="505"/>
      <c r="J429" s="505"/>
      <c r="K429" s="502" t="s">
        <v>650</v>
      </c>
      <c r="L429" s="427"/>
      <c r="M429" s="427"/>
      <c r="N429" s="427"/>
      <c r="O429" s="426">
        <f t="shared" si="282"/>
        <v>0</v>
      </c>
      <c r="P429" s="605"/>
      <c r="Q429" s="606"/>
      <c r="R429" s="607"/>
      <c r="S429" s="427"/>
      <c r="T429" s="427"/>
      <c r="U429" s="608"/>
      <c r="V429" s="737">
        <v>0</v>
      </c>
      <c r="W429" s="427"/>
      <c r="X429" s="522"/>
      <c r="Y429" s="522"/>
      <c r="Z429" s="738">
        <f t="shared" si="283"/>
        <v>0</v>
      </c>
      <c r="AA429" s="739">
        <f t="shared" si="284"/>
        <v>0</v>
      </c>
    </row>
    <row r="430" spans="1:27" ht="22.5" customHeight="1" thickTop="1" thickBot="1" x14ac:dyDescent="0.3">
      <c r="A430" s="425">
        <v>1</v>
      </c>
      <c r="B430" s="505" t="s">
        <v>216</v>
      </c>
      <c r="C430" s="505" t="s">
        <v>227</v>
      </c>
      <c r="D430" s="505" t="s">
        <v>381</v>
      </c>
      <c r="E430" s="505" t="s">
        <v>231</v>
      </c>
      <c r="F430" s="505" t="s">
        <v>220</v>
      </c>
      <c r="G430" s="505" t="s">
        <v>556</v>
      </c>
      <c r="H430" s="505"/>
      <c r="I430" s="505"/>
      <c r="J430" s="505"/>
      <c r="K430" s="502" t="s">
        <v>651</v>
      </c>
      <c r="L430" s="427"/>
      <c r="M430" s="427"/>
      <c r="N430" s="427"/>
      <c r="O430" s="426">
        <f t="shared" si="282"/>
        <v>0</v>
      </c>
      <c r="P430" s="605"/>
      <c r="Q430" s="606"/>
      <c r="R430" s="607"/>
      <c r="S430" s="427"/>
      <c r="T430" s="427"/>
      <c r="U430" s="608"/>
      <c r="V430" s="737">
        <v>0</v>
      </c>
      <c r="W430" s="427"/>
      <c r="X430" s="522"/>
      <c r="Y430" s="522"/>
      <c r="Z430" s="738">
        <f t="shared" si="283"/>
        <v>0</v>
      </c>
      <c r="AA430" s="739">
        <f t="shared" si="284"/>
        <v>0</v>
      </c>
    </row>
    <row r="431" spans="1:27" ht="22.5" customHeight="1" thickTop="1" thickBot="1" x14ac:dyDescent="0.3">
      <c r="A431" s="425">
        <v>1</v>
      </c>
      <c r="B431" s="505" t="s">
        <v>216</v>
      </c>
      <c r="C431" s="505" t="s">
        <v>227</v>
      </c>
      <c r="D431" s="505" t="s">
        <v>381</v>
      </c>
      <c r="E431" s="505" t="s">
        <v>231</v>
      </c>
      <c r="F431" s="505" t="s">
        <v>220</v>
      </c>
      <c r="G431" s="505" t="s">
        <v>558</v>
      </c>
      <c r="H431" s="505"/>
      <c r="I431" s="505"/>
      <c r="J431" s="505"/>
      <c r="K431" s="502" t="s">
        <v>652</v>
      </c>
      <c r="L431" s="427"/>
      <c r="M431" s="427"/>
      <c r="N431" s="427"/>
      <c r="O431" s="426">
        <f t="shared" si="282"/>
        <v>0</v>
      </c>
      <c r="P431" s="605"/>
      <c r="Q431" s="606"/>
      <c r="R431" s="607"/>
      <c r="S431" s="427"/>
      <c r="T431" s="427"/>
      <c r="U431" s="608"/>
      <c r="V431" s="737">
        <v>0</v>
      </c>
      <c r="W431" s="427"/>
      <c r="X431" s="522"/>
      <c r="Y431" s="522"/>
      <c r="Z431" s="738">
        <f t="shared" si="283"/>
        <v>0</v>
      </c>
      <c r="AA431" s="739">
        <f t="shared" si="284"/>
        <v>0</v>
      </c>
    </row>
    <row r="432" spans="1:27" ht="22.5" customHeight="1" thickTop="1" thickBot="1" x14ac:dyDescent="0.3">
      <c r="A432" s="425">
        <v>1</v>
      </c>
      <c r="B432" s="505" t="s">
        <v>216</v>
      </c>
      <c r="C432" s="505" t="s">
        <v>227</v>
      </c>
      <c r="D432" s="505" t="s">
        <v>381</v>
      </c>
      <c r="E432" s="505" t="s">
        <v>231</v>
      </c>
      <c r="F432" s="505" t="s">
        <v>220</v>
      </c>
      <c r="G432" s="505" t="s">
        <v>560</v>
      </c>
      <c r="H432" s="505"/>
      <c r="I432" s="505"/>
      <c r="J432" s="505"/>
      <c r="K432" s="502" t="s">
        <v>653</v>
      </c>
      <c r="L432" s="427"/>
      <c r="M432" s="427"/>
      <c r="N432" s="427"/>
      <c r="O432" s="426">
        <f t="shared" si="282"/>
        <v>0</v>
      </c>
      <c r="P432" s="605"/>
      <c r="Q432" s="606"/>
      <c r="R432" s="607"/>
      <c r="S432" s="427"/>
      <c r="T432" s="427"/>
      <c r="U432" s="608"/>
      <c r="V432" s="737">
        <v>0</v>
      </c>
      <c r="W432" s="427"/>
      <c r="X432" s="522"/>
      <c r="Y432" s="522"/>
      <c r="Z432" s="738">
        <f t="shared" si="283"/>
        <v>0</v>
      </c>
      <c r="AA432" s="739">
        <f t="shared" si="284"/>
        <v>0</v>
      </c>
    </row>
    <row r="433" spans="1:27" ht="22.5" customHeight="1" thickTop="1" thickBot="1" x14ac:dyDescent="0.3">
      <c r="A433" s="425">
        <v>1</v>
      </c>
      <c r="B433" s="505" t="s">
        <v>216</v>
      </c>
      <c r="C433" s="505" t="s">
        <v>227</v>
      </c>
      <c r="D433" s="505" t="s">
        <v>381</v>
      </c>
      <c r="E433" s="505" t="s">
        <v>231</v>
      </c>
      <c r="F433" s="505" t="s">
        <v>220</v>
      </c>
      <c r="G433" s="505" t="s">
        <v>562</v>
      </c>
      <c r="H433" s="505"/>
      <c r="I433" s="505"/>
      <c r="J433" s="505"/>
      <c r="K433" s="502" t="s">
        <v>654</v>
      </c>
      <c r="L433" s="427"/>
      <c r="M433" s="427"/>
      <c r="N433" s="427"/>
      <c r="O433" s="426">
        <f t="shared" si="282"/>
        <v>0</v>
      </c>
      <c r="P433" s="605"/>
      <c r="Q433" s="606"/>
      <c r="R433" s="607"/>
      <c r="S433" s="427"/>
      <c r="T433" s="427"/>
      <c r="U433" s="608"/>
      <c r="V433" s="737">
        <v>0</v>
      </c>
      <c r="W433" s="427"/>
      <c r="X433" s="522"/>
      <c r="Y433" s="522"/>
      <c r="Z433" s="738">
        <f t="shared" si="283"/>
        <v>0</v>
      </c>
      <c r="AA433" s="739">
        <f t="shared" si="284"/>
        <v>0</v>
      </c>
    </row>
    <row r="434" spans="1:27" ht="22.5" customHeight="1" thickTop="1" thickBot="1" x14ac:dyDescent="0.3">
      <c r="A434" s="425">
        <v>1</v>
      </c>
      <c r="B434" s="505" t="s">
        <v>216</v>
      </c>
      <c r="C434" s="505" t="s">
        <v>227</v>
      </c>
      <c r="D434" s="505" t="s">
        <v>381</v>
      </c>
      <c r="E434" s="505" t="s">
        <v>231</v>
      </c>
      <c r="F434" s="505" t="s">
        <v>220</v>
      </c>
      <c r="G434" s="505" t="s">
        <v>564</v>
      </c>
      <c r="H434" s="505"/>
      <c r="I434" s="505"/>
      <c r="J434" s="505"/>
      <c r="K434" s="502" t="s">
        <v>655</v>
      </c>
      <c r="L434" s="427"/>
      <c r="M434" s="427"/>
      <c r="N434" s="427"/>
      <c r="O434" s="426">
        <f t="shared" si="282"/>
        <v>0</v>
      </c>
      <c r="P434" s="605"/>
      <c r="Q434" s="606"/>
      <c r="R434" s="607"/>
      <c r="S434" s="427"/>
      <c r="T434" s="427"/>
      <c r="U434" s="608"/>
      <c r="V434" s="737">
        <v>0</v>
      </c>
      <c r="W434" s="427"/>
      <c r="X434" s="522"/>
      <c r="Y434" s="522"/>
      <c r="Z434" s="738">
        <f t="shared" si="283"/>
        <v>0</v>
      </c>
      <c r="AA434" s="739">
        <f t="shared" si="284"/>
        <v>0</v>
      </c>
    </row>
    <row r="435" spans="1:27" ht="22.5" customHeight="1" thickTop="1" thickBot="1" x14ac:dyDescent="0.3">
      <c r="A435" s="425">
        <v>1</v>
      </c>
      <c r="B435" s="505" t="s">
        <v>216</v>
      </c>
      <c r="C435" s="505" t="s">
        <v>227</v>
      </c>
      <c r="D435" s="505" t="s">
        <v>381</v>
      </c>
      <c r="E435" s="505" t="s">
        <v>231</v>
      </c>
      <c r="F435" s="505" t="s">
        <v>220</v>
      </c>
      <c r="G435" s="505" t="s">
        <v>566</v>
      </c>
      <c r="H435" s="505"/>
      <c r="I435" s="505"/>
      <c r="J435" s="505"/>
      <c r="K435" s="502" t="s">
        <v>656</v>
      </c>
      <c r="L435" s="427"/>
      <c r="M435" s="427"/>
      <c r="N435" s="427"/>
      <c r="O435" s="426">
        <f t="shared" si="282"/>
        <v>0</v>
      </c>
      <c r="P435" s="605"/>
      <c r="Q435" s="606"/>
      <c r="R435" s="607"/>
      <c r="S435" s="427"/>
      <c r="T435" s="427"/>
      <c r="U435" s="608"/>
      <c r="V435" s="737">
        <v>0</v>
      </c>
      <c r="W435" s="427"/>
      <c r="X435" s="522"/>
      <c r="Y435" s="522"/>
      <c r="Z435" s="738">
        <f t="shared" si="283"/>
        <v>0</v>
      </c>
      <c r="AA435" s="739">
        <f t="shared" si="284"/>
        <v>0</v>
      </c>
    </row>
    <row r="436" spans="1:27" ht="22.5" customHeight="1" thickTop="1" thickBot="1" x14ac:dyDescent="0.3">
      <c r="A436" s="425">
        <v>1</v>
      </c>
      <c r="B436" s="505" t="s">
        <v>216</v>
      </c>
      <c r="C436" s="505" t="s">
        <v>227</v>
      </c>
      <c r="D436" s="505" t="s">
        <v>381</v>
      </c>
      <c r="E436" s="505" t="s">
        <v>231</v>
      </c>
      <c r="F436" s="505" t="s">
        <v>220</v>
      </c>
      <c r="G436" s="505" t="s">
        <v>657</v>
      </c>
      <c r="H436" s="505"/>
      <c r="I436" s="505"/>
      <c r="J436" s="505"/>
      <c r="K436" s="502" t="s">
        <v>658</v>
      </c>
      <c r="L436" s="427"/>
      <c r="M436" s="427"/>
      <c r="N436" s="427"/>
      <c r="O436" s="426">
        <f t="shared" si="282"/>
        <v>0</v>
      </c>
      <c r="P436" s="605"/>
      <c r="Q436" s="606"/>
      <c r="R436" s="607"/>
      <c r="S436" s="427"/>
      <c r="T436" s="427"/>
      <c r="U436" s="608"/>
      <c r="V436" s="737">
        <v>0</v>
      </c>
      <c r="W436" s="427"/>
      <c r="X436" s="522"/>
      <c r="Y436" s="522"/>
      <c r="Z436" s="738">
        <f t="shared" si="283"/>
        <v>0</v>
      </c>
      <c r="AA436" s="739">
        <f t="shared" si="284"/>
        <v>0</v>
      </c>
    </row>
    <row r="437" spans="1:27" ht="22.5" customHeight="1" thickTop="1" thickBot="1" x14ac:dyDescent="0.3">
      <c r="A437" s="425">
        <v>1</v>
      </c>
      <c r="B437" s="505" t="s">
        <v>216</v>
      </c>
      <c r="C437" s="505" t="s">
        <v>227</v>
      </c>
      <c r="D437" s="505" t="s">
        <v>381</v>
      </c>
      <c r="E437" s="505" t="s">
        <v>231</v>
      </c>
      <c r="F437" s="505" t="s">
        <v>220</v>
      </c>
      <c r="G437" s="505" t="s">
        <v>659</v>
      </c>
      <c r="H437" s="505"/>
      <c r="I437" s="505"/>
      <c r="J437" s="505"/>
      <c r="K437" s="502" t="s">
        <v>660</v>
      </c>
      <c r="L437" s="427"/>
      <c r="M437" s="427"/>
      <c r="N437" s="427"/>
      <c r="O437" s="426">
        <f t="shared" si="282"/>
        <v>0</v>
      </c>
      <c r="P437" s="605"/>
      <c r="Q437" s="606"/>
      <c r="R437" s="607"/>
      <c r="S437" s="427"/>
      <c r="T437" s="427"/>
      <c r="U437" s="608"/>
      <c r="V437" s="737">
        <v>0</v>
      </c>
      <c r="W437" s="427"/>
      <c r="X437" s="522"/>
      <c r="Y437" s="522"/>
      <c r="Z437" s="738">
        <f t="shared" si="283"/>
        <v>0</v>
      </c>
      <c r="AA437" s="739">
        <f t="shared" si="284"/>
        <v>0</v>
      </c>
    </row>
    <row r="438" spans="1:27" ht="22.5" customHeight="1" thickTop="1" thickBot="1" x14ac:dyDescent="0.3">
      <c r="A438" s="425">
        <v>1</v>
      </c>
      <c r="B438" s="505" t="s">
        <v>216</v>
      </c>
      <c r="C438" s="505" t="s">
        <v>227</v>
      </c>
      <c r="D438" s="505" t="s">
        <v>381</v>
      </c>
      <c r="E438" s="505" t="s">
        <v>231</v>
      </c>
      <c r="F438" s="505" t="s">
        <v>231</v>
      </c>
      <c r="G438" s="505"/>
      <c r="H438" s="505"/>
      <c r="I438" s="505"/>
      <c r="J438" s="505"/>
      <c r="K438" s="502" t="s">
        <v>661</v>
      </c>
      <c r="L438" s="427">
        <f>SUM(L439:L469)</f>
        <v>0</v>
      </c>
      <c r="M438" s="427">
        <f t="shared" ref="M438:U438" si="285">SUM(M439:M469)</f>
        <v>0</v>
      </c>
      <c r="N438" s="427">
        <f t="shared" si="285"/>
        <v>0</v>
      </c>
      <c r="O438" s="427">
        <f t="shared" si="285"/>
        <v>0</v>
      </c>
      <c r="P438" s="605">
        <f t="shared" si="285"/>
        <v>0</v>
      </c>
      <c r="Q438" s="606">
        <f t="shared" si="285"/>
        <v>0</v>
      </c>
      <c r="R438" s="607">
        <f t="shared" si="285"/>
        <v>0</v>
      </c>
      <c r="S438" s="427">
        <f t="shared" si="285"/>
        <v>0</v>
      </c>
      <c r="T438" s="427">
        <f t="shared" si="285"/>
        <v>0</v>
      </c>
      <c r="U438" s="608">
        <f t="shared" si="285"/>
        <v>0</v>
      </c>
      <c r="V438" s="427" t="e">
        <f t="shared" si="273"/>
        <v>#DIV/0!</v>
      </c>
      <c r="W438" s="427"/>
      <c r="X438" s="522"/>
      <c r="Y438" s="522"/>
    </row>
    <row r="439" spans="1:27" ht="22.5" customHeight="1" thickTop="1" thickBot="1" x14ac:dyDescent="0.3">
      <c r="A439" s="425">
        <v>1</v>
      </c>
      <c r="B439" s="505" t="s">
        <v>216</v>
      </c>
      <c r="C439" s="505" t="s">
        <v>227</v>
      </c>
      <c r="D439" s="505" t="s">
        <v>381</v>
      </c>
      <c r="E439" s="505" t="s">
        <v>231</v>
      </c>
      <c r="F439" s="505" t="s">
        <v>231</v>
      </c>
      <c r="G439" s="505" t="s">
        <v>220</v>
      </c>
      <c r="H439" s="505"/>
      <c r="I439" s="505"/>
      <c r="J439" s="505"/>
      <c r="K439" s="502" t="s">
        <v>662</v>
      </c>
      <c r="L439" s="427"/>
      <c r="M439" s="427"/>
      <c r="N439" s="427"/>
      <c r="O439" s="426">
        <f t="shared" ref="O439:O469" si="286">+L439+M439-N439</f>
        <v>0</v>
      </c>
      <c r="P439" s="605"/>
      <c r="Q439" s="606"/>
      <c r="R439" s="607"/>
      <c r="S439" s="427"/>
      <c r="T439" s="427"/>
      <c r="U439" s="608"/>
      <c r="V439" s="737">
        <v>0</v>
      </c>
      <c r="W439" s="427"/>
      <c r="X439" s="522"/>
      <c r="Y439" s="522"/>
      <c r="Z439" s="738">
        <f t="shared" ref="Z439:Z469" si="287">SUBTOTAL(9,P439:S439)</f>
        <v>0</v>
      </c>
      <c r="AA439" s="739">
        <f t="shared" ref="AA439:AA469" si="288">+Z439-O439</f>
        <v>0</v>
      </c>
    </row>
    <row r="440" spans="1:27" ht="22.5" customHeight="1" thickTop="1" thickBot="1" x14ac:dyDescent="0.3">
      <c r="A440" s="425">
        <v>1</v>
      </c>
      <c r="B440" s="505" t="s">
        <v>216</v>
      </c>
      <c r="C440" s="505" t="s">
        <v>227</v>
      </c>
      <c r="D440" s="505" t="s">
        <v>381</v>
      </c>
      <c r="E440" s="505" t="s">
        <v>231</v>
      </c>
      <c r="F440" s="505" t="s">
        <v>231</v>
      </c>
      <c r="G440" s="505" t="s">
        <v>231</v>
      </c>
      <c r="H440" s="505"/>
      <c r="I440" s="505"/>
      <c r="J440" s="505"/>
      <c r="K440" s="502" t="s">
        <v>663</v>
      </c>
      <c r="L440" s="427"/>
      <c r="M440" s="427"/>
      <c r="N440" s="427"/>
      <c r="O440" s="426">
        <f t="shared" si="286"/>
        <v>0</v>
      </c>
      <c r="P440" s="605"/>
      <c r="Q440" s="606"/>
      <c r="R440" s="607"/>
      <c r="S440" s="427"/>
      <c r="T440" s="427"/>
      <c r="U440" s="608"/>
      <c r="V440" s="737">
        <v>0</v>
      </c>
      <c r="W440" s="427"/>
      <c r="X440" s="522"/>
      <c r="Y440" s="522"/>
      <c r="Z440" s="738">
        <f t="shared" si="287"/>
        <v>0</v>
      </c>
      <c r="AA440" s="739">
        <f t="shared" si="288"/>
        <v>0</v>
      </c>
    </row>
    <row r="441" spans="1:27" ht="22.5" customHeight="1" thickTop="1" thickBot="1" x14ac:dyDescent="0.3">
      <c r="A441" s="425">
        <v>1</v>
      </c>
      <c r="B441" s="505" t="s">
        <v>216</v>
      </c>
      <c r="C441" s="505" t="s">
        <v>227</v>
      </c>
      <c r="D441" s="505" t="s">
        <v>381</v>
      </c>
      <c r="E441" s="505" t="s">
        <v>231</v>
      </c>
      <c r="F441" s="505" t="s">
        <v>231</v>
      </c>
      <c r="G441" s="505" t="s">
        <v>305</v>
      </c>
      <c r="H441" s="505"/>
      <c r="I441" s="505"/>
      <c r="J441" s="505"/>
      <c r="K441" s="502" t="s">
        <v>664</v>
      </c>
      <c r="L441" s="427"/>
      <c r="M441" s="427"/>
      <c r="N441" s="427"/>
      <c r="O441" s="426">
        <f t="shared" si="286"/>
        <v>0</v>
      </c>
      <c r="P441" s="605"/>
      <c r="Q441" s="606"/>
      <c r="R441" s="607"/>
      <c r="S441" s="427"/>
      <c r="T441" s="427"/>
      <c r="U441" s="608"/>
      <c r="V441" s="737">
        <v>0</v>
      </c>
      <c r="W441" s="427"/>
      <c r="X441" s="522"/>
      <c r="Y441" s="522"/>
      <c r="Z441" s="738">
        <f t="shared" si="287"/>
        <v>0</v>
      </c>
      <c r="AA441" s="739">
        <f t="shared" si="288"/>
        <v>0</v>
      </c>
    </row>
    <row r="442" spans="1:27" ht="22.5" customHeight="1" thickTop="1" thickBot="1" x14ac:dyDescent="0.3">
      <c r="A442" s="425">
        <v>1</v>
      </c>
      <c r="B442" s="505" t="s">
        <v>216</v>
      </c>
      <c r="C442" s="505" t="s">
        <v>227</v>
      </c>
      <c r="D442" s="505" t="s">
        <v>381</v>
      </c>
      <c r="E442" s="505" t="s">
        <v>231</v>
      </c>
      <c r="F442" s="505" t="s">
        <v>231</v>
      </c>
      <c r="G442" s="505" t="s">
        <v>313</v>
      </c>
      <c r="H442" s="505"/>
      <c r="I442" s="505"/>
      <c r="J442" s="505"/>
      <c r="K442" s="502" t="s">
        <v>665</v>
      </c>
      <c r="L442" s="427"/>
      <c r="M442" s="427"/>
      <c r="N442" s="427"/>
      <c r="O442" s="426">
        <f t="shared" si="286"/>
        <v>0</v>
      </c>
      <c r="P442" s="605"/>
      <c r="Q442" s="606"/>
      <c r="R442" s="607"/>
      <c r="S442" s="427"/>
      <c r="T442" s="427"/>
      <c r="U442" s="608"/>
      <c r="V442" s="737">
        <v>0</v>
      </c>
      <c r="W442" s="427"/>
      <c r="X442" s="522"/>
      <c r="Y442" s="522"/>
      <c r="Z442" s="738">
        <f t="shared" si="287"/>
        <v>0</v>
      </c>
      <c r="AA442" s="739">
        <f t="shared" si="288"/>
        <v>0</v>
      </c>
    </row>
    <row r="443" spans="1:27" ht="22.5" customHeight="1" thickTop="1" thickBot="1" x14ac:dyDescent="0.3">
      <c r="A443" s="425">
        <v>1</v>
      </c>
      <c r="B443" s="505" t="s">
        <v>216</v>
      </c>
      <c r="C443" s="505" t="s">
        <v>227</v>
      </c>
      <c r="D443" s="505" t="s">
        <v>381</v>
      </c>
      <c r="E443" s="505" t="s">
        <v>231</v>
      </c>
      <c r="F443" s="505" t="s">
        <v>231</v>
      </c>
      <c r="G443" s="505" t="s">
        <v>243</v>
      </c>
      <c r="H443" s="505"/>
      <c r="I443" s="505"/>
      <c r="J443" s="505"/>
      <c r="K443" s="502" t="s">
        <v>666</v>
      </c>
      <c r="L443" s="427"/>
      <c r="M443" s="427"/>
      <c r="N443" s="427"/>
      <c r="O443" s="426">
        <f t="shared" si="286"/>
        <v>0</v>
      </c>
      <c r="P443" s="605"/>
      <c r="Q443" s="606"/>
      <c r="R443" s="607"/>
      <c r="S443" s="427"/>
      <c r="T443" s="427"/>
      <c r="U443" s="608"/>
      <c r="V443" s="737">
        <v>0</v>
      </c>
      <c r="W443" s="427"/>
      <c r="X443" s="522"/>
      <c r="Y443" s="522"/>
      <c r="Z443" s="738">
        <f t="shared" si="287"/>
        <v>0</v>
      </c>
      <c r="AA443" s="739">
        <f t="shared" si="288"/>
        <v>0</v>
      </c>
    </row>
    <row r="444" spans="1:27" ht="22.5" customHeight="1" thickTop="1" thickBot="1" x14ac:dyDescent="0.3">
      <c r="A444" s="425">
        <v>1</v>
      </c>
      <c r="B444" s="505" t="s">
        <v>216</v>
      </c>
      <c r="C444" s="505" t="s">
        <v>227</v>
      </c>
      <c r="D444" s="505" t="s">
        <v>381</v>
      </c>
      <c r="E444" s="505" t="s">
        <v>231</v>
      </c>
      <c r="F444" s="505" t="s">
        <v>231</v>
      </c>
      <c r="G444" s="505" t="s">
        <v>361</v>
      </c>
      <c r="H444" s="505"/>
      <c r="I444" s="505"/>
      <c r="J444" s="505"/>
      <c r="K444" s="502" t="s">
        <v>667</v>
      </c>
      <c r="L444" s="427"/>
      <c r="M444" s="427"/>
      <c r="N444" s="427"/>
      <c r="O444" s="426">
        <f t="shared" si="286"/>
        <v>0</v>
      </c>
      <c r="P444" s="605"/>
      <c r="Q444" s="606"/>
      <c r="R444" s="607"/>
      <c r="S444" s="427"/>
      <c r="T444" s="427"/>
      <c r="U444" s="608"/>
      <c r="V444" s="737">
        <v>0</v>
      </c>
      <c r="W444" s="427"/>
      <c r="X444" s="522"/>
      <c r="Y444" s="522"/>
      <c r="Z444" s="738">
        <f t="shared" si="287"/>
        <v>0</v>
      </c>
      <c r="AA444" s="739">
        <f t="shared" si="288"/>
        <v>0</v>
      </c>
    </row>
    <row r="445" spans="1:27" ht="22.5" customHeight="1" thickTop="1" thickBot="1" x14ac:dyDescent="0.3">
      <c r="A445" s="425">
        <v>1</v>
      </c>
      <c r="B445" s="505" t="s">
        <v>216</v>
      </c>
      <c r="C445" s="505" t="s">
        <v>227</v>
      </c>
      <c r="D445" s="505" t="s">
        <v>381</v>
      </c>
      <c r="E445" s="505" t="s">
        <v>231</v>
      </c>
      <c r="F445" s="505" t="s">
        <v>231</v>
      </c>
      <c r="G445" s="505" t="s">
        <v>366</v>
      </c>
      <c r="H445" s="505"/>
      <c r="I445" s="505"/>
      <c r="J445" s="505"/>
      <c r="K445" s="502" t="s">
        <v>668</v>
      </c>
      <c r="L445" s="427"/>
      <c r="M445" s="427"/>
      <c r="N445" s="427"/>
      <c r="O445" s="426">
        <f t="shared" si="286"/>
        <v>0</v>
      </c>
      <c r="P445" s="605"/>
      <c r="Q445" s="606"/>
      <c r="R445" s="607"/>
      <c r="S445" s="427"/>
      <c r="T445" s="427"/>
      <c r="U445" s="608"/>
      <c r="V445" s="737">
        <v>0</v>
      </c>
      <c r="W445" s="427"/>
      <c r="X445" s="522"/>
      <c r="Y445" s="522"/>
      <c r="Z445" s="738">
        <f t="shared" si="287"/>
        <v>0</v>
      </c>
      <c r="AA445" s="739">
        <f t="shared" si="288"/>
        <v>0</v>
      </c>
    </row>
    <row r="446" spans="1:27" ht="22.5" customHeight="1" thickTop="1" thickBot="1" x14ac:dyDescent="0.3">
      <c r="A446" s="425">
        <v>1</v>
      </c>
      <c r="B446" s="505" t="s">
        <v>216</v>
      </c>
      <c r="C446" s="505" t="s">
        <v>227</v>
      </c>
      <c r="D446" s="505" t="s">
        <v>381</v>
      </c>
      <c r="E446" s="505" t="s">
        <v>231</v>
      </c>
      <c r="F446" s="505" t="s">
        <v>231</v>
      </c>
      <c r="G446" s="505" t="s">
        <v>371</v>
      </c>
      <c r="H446" s="505"/>
      <c r="I446" s="505"/>
      <c r="J446" s="505"/>
      <c r="K446" s="502" t="s">
        <v>669</v>
      </c>
      <c r="L446" s="427"/>
      <c r="M446" s="427"/>
      <c r="N446" s="427"/>
      <c r="O446" s="426">
        <f t="shared" si="286"/>
        <v>0</v>
      </c>
      <c r="P446" s="605"/>
      <c r="Q446" s="606"/>
      <c r="R446" s="607"/>
      <c r="S446" s="427"/>
      <c r="T446" s="427"/>
      <c r="U446" s="608"/>
      <c r="V446" s="737">
        <v>0</v>
      </c>
      <c r="W446" s="427"/>
      <c r="X446" s="522"/>
      <c r="Y446" s="522"/>
      <c r="Z446" s="738">
        <f t="shared" si="287"/>
        <v>0</v>
      </c>
      <c r="AA446" s="739">
        <f t="shared" si="288"/>
        <v>0</v>
      </c>
    </row>
    <row r="447" spans="1:27" ht="22.5" customHeight="1" thickTop="1" thickBot="1" x14ac:dyDescent="0.3">
      <c r="A447" s="425">
        <v>1</v>
      </c>
      <c r="B447" s="505" t="s">
        <v>216</v>
      </c>
      <c r="C447" s="505" t="s">
        <v>227</v>
      </c>
      <c r="D447" s="505" t="s">
        <v>381</v>
      </c>
      <c r="E447" s="505" t="s">
        <v>231</v>
      </c>
      <c r="F447" s="505" t="s">
        <v>231</v>
      </c>
      <c r="G447" s="505" t="s">
        <v>376</v>
      </c>
      <c r="H447" s="505"/>
      <c r="I447" s="505"/>
      <c r="J447" s="505"/>
      <c r="K447" s="502" t="s">
        <v>670</v>
      </c>
      <c r="L447" s="427"/>
      <c r="M447" s="427"/>
      <c r="N447" s="427"/>
      <c r="O447" s="426">
        <f t="shared" si="286"/>
        <v>0</v>
      </c>
      <c r="P447" s="605"/>
      <c r="Q447" s="606"/>
      <c r="R447" s="607"/>
      <c r="S447" s="427"/>
      <c r="T447" s="427"/>
      <c r="U447" s="608"/>
      <c r="V447" s="737">
        <v>0</v>
      </c>
      <c r="W447" s="427"/>
      <c r="X447" s="522"/>
      <c r="Y447" s="522"/>
      <c r="Z447" s="738">
        <f t="shared" si="287"/>
        <v>0</v>
      </c>
      <c r="AA447" s="739">
        <f t="shared" si="288"/>
        <v>0</v>
      </c>
    </row>
    <row r="448" spans="1:27" ht="22.5" customHeight="1" thickTop="1" thickBot="1" x14ac:dyDescent="0.3">
      <c r="A448" s="425">
        <v>1</v>
      </c>
      <c r="B448" s="505" t="s">
        <v>216</v>
      </c>
      <c r="C448" s="505" t="s">
        <v>227</v>
      </c>
      <c r="D448" s="505" t="s">
        <v>381</v>
      </c>
      <c r="E448" s="505" t="s">
        <v>231</v>
      </c>
      <c r="F448" s="505" t="s">
        <v>231</v>
      </c>
      <c r="G448" s="505" t="s">
        <v>381</v>
      </c>
      <c r="H448" s="505"/>
      <c r="I448" s="505"/>
      <c r="J448" s="505"/>
      <c r="K448" s="502" t="s">
        <v>671</v>
      </c>
      <c r="L448" s="427"/>
      <c r="M448" s="427"/>
      <c r="N448" s="427"/>
      <c r="O448" s="426">
        <f t="shared" si="286"/>
        <v>0</v>
      </c>
      <c r="P448" s="605"/>
      <c r="Q448" s="606"/>
      <c r="R448" s="607"/>
      <c r="S448" s="427"/>
      <c r="T448" s="427"/>
      <c r="U448" s="608"/>
      <c r="V448" s="737">
        <v>0</v>
      </c>
      <c r="W448" s="427"/>
      <c r="X448" s="522"/>
      <c r="Y448" s="522"/>
      <c r="Z448" s="738">
        <f t="shared" si="287"/>
        <v>0</v>
      </c>
      <c r="AA448" s="739">
        <f t="shared" si="288"/>
        <v>0</v>
      </c>
    </row>
    <row r="449" spans="1:27" ht="22.5" customHeight="1" thickTop="1" thickBot="1" x14ac:dyDescent="0.3">
      <c r="A449" s="425">
        <v>1</v>
      </c>
      <c r="B449" s="505" t="s">
        <v>216</v>
      </c>
      <c r="C449" s="505" t="s">
        <v>227</v>
      </c>
      <c r="D449" s="505" t="s">
        <v>381</v>
      </c>
      <c r="E449" s="505" t="s">
        <v>231</v>
      </c>
      <c r="F449" s="505" t="s">
        <v>231</v>
      </c>
      <c r="G449" s="505" t="s">
        <v>531</v>
      </c>
      <c r="H449" s="505"/>
      <c r="I449" s="505"/>
      <c r="J449" s="505"/>
      <c r="K449" s="502" t="s">
        <v>672</v>
      </c>
      <c r="L449" s="427"/>
      <c r="M449" s="427"/>
      <c r="N449" s="427"/>
      <c r="O449" s="426">
        <f t="shared" si="286"/>
        <v>0</v>
      </c>
      <c r="P449" s="605"/>
      <c r="Q449" s="606"/>
      <c r="R449" s="607"/>
      <c r="S449" s="427"/>
      <c r="T449" s="427"/>
      <c r="U449" s="608"/>
      <c r="V449" s="737">
        <v>0</v>
      </c>
      <c r="W449" s="427"/>
      <c r="X449" s="522"/>
      <c r="Y449" s="522"/>
      <c r="Z449" s="738">
        <f t="shared" si="287"/>
        <v>0</v>
      </c>
      <c r="AA449" s="739">
        <f t="shared" si="288"/>
        <v>0</v>
      </c>
    </row>
    <row r="450" spans="1:27" ht="22.5" customHeight="1" thickTop="1" thickBot="1" x14ac:dyDescent="0.3">
      <c r="A450" s="425">
        <v>1</v>
      </c>
      <c r="B450" s="505" t="s">
        <v>216</v>
      </c>
      <c r="C450" s="505" t="s">
        <v>227</v>
      </c>
      <c r="D450" s="505" t="s">
        <v>381</v>
      </c>
      <c r="E450" s="505" t="s">
        <v>231</v>
      </c>
      <c r="F450" s="505" t="s">
        <v>231</v>
      </c>
      <c r="G450" s="505" t="s">
        <v>533</v>
      </c>
      <c r="H450" s="505"/>
      <c r="I450" s="505"/>
      <c r="J450" s="505"/>
      <c r="K450" s="502" t="s">
        <v>673</v>
      </c>
      <c r="L450" s="427"/>
      <c r="M450" s="427"/>
      <c r="N450" s="427"/>
      <c r="O450" s="426">
        <f t="shared" si="286"/>
        <v>0</v>
      </c>
      <c r="P450" s="605"/>
      <c r="Q450" s="606"/>
      <c r="R450" s="607"/>
      <c r="S450" s="427"/>
      <c r="T450" s="427"/>
      <c r="U450" s="608"/>
      <c r="V450" s="737">
        <v>0</v>
      </c>
      <c r="W450" s="427"/>
      <c r="X450" s="522"/>
      <c r="Y450" s="522"/>
      <c r="Z450" s="738">
        <f t="shared" si="287"/>
        <v>0</v>
      </c>
      <c r="AA450" s="739">
        <f t="shared" si="288"/>
        <v>0</v>
      </c>
    </row>
    <row r="451" spans="1:27" ht="22.5" customHeight="1" thickTop="1" thickBot="1" x14ac:dyDescent="0.3">
      <c r="A451" s="425">
        <v>1</v>
      </c>
      <c r="B451" s="505" t="s">
        <v>216</v>
      </c>
      <c r="C451" s="505" t="s">
        <v>227</v>
      </c>
      <c r="D451" s="505" t="s">
        <v>381</v>
      </c>
      <c r="E451" s="505" t="s">
        <v>231</v>
      </c>
      <c r="F451" s="505" t="s">
        <v>231</v>
      </c>
      <c r="G451" s="505" t="s">
        <v>322</v>
      </c>
      <c r="H451" s="505"/>
      <c r="I451" s="505"/>
      <c r="J451" s="505"/>
      <c r="K451" s="502" t="s">
        <v>674</v>
      </c>
      <c r="L451" s="427"/>
      <c r="M451" s="427"/>
      <c r="N451" s="427"/>
      <c r="O451" s="426">
        <f t="shared" si="286"/>
        <v>0</v>
      </c>
      <c r="P451" s="605"/>
      <c r="Q451" s="606"/>
      <c r="R451" s="607"/>
      <c r="S451" s="427"/>
      <c r="T451" s="427"/>
      <c r="U451" s="608"/>
      <c r="V451" s="737">
        <v>0</v>
      </c>
      <c r="W451" s="427"/>
      <c r="X451" s="522"/>
      <c r="Y451" s="522"/>
      <c r="Z451" s="738">
        <f t="shared" si="287"/>
        <v>0</v>
      </c>
      <c r="AA451" s="739">
        <f t="shared" si="288"/>
        <v>0</v>
      </c>
    </row>
    <row r="452" spans="1:27" ht="22.5" customHeight="1" thickTop="1" thickBot="1" x14ac:dyDescent="0.3">
      <c r="A452" s="425">
        <v>1</v>
      </c>
      <c r="B452" s="505" t="s">
        <v>216</v>
      </c>
      <c r="C452" s="505" t="s">
        <v>227</v>
      </c>
      <c r="D452" s="505" t="s">
        <v>381</v>
      </c>
      <c r="E452" s="505" t="s">
        <v>231</v>
      </c>
      <c r="F452" s="505" t="s">
        <v>231</v>
      </c>
      <c r="G452" s="505" t="s">
        <v>394</v>
      </c>
      <c r="H452" s="505"/>
      <c r="I452" s="505"/>
      <c r="J452" s="505"/>
      <c r="K452" s="502" t="s">
        <v>675</v>
      </c>
      <c r="L452" s="427"/>
      <c r="M452" s="427"/>
      <c r="N452" s="427"/>
      <c r="O452" s="426">
        <f t="shared" si="286"/>
        <v>0</v>
      </c>
      <c r="P452" s="605"/>
      <c r="Q452" s="606"/>
      <c r="R452" s="607"/>
      <c r="S452" s="427"/>
      <c r="T452" s="427"/>
      <c r="U452" s="608"/>
      <c r="V452" s="737">
        <v>0</v>
      </c>
      <c r="W452" s="427"/>
      <c r="X452" s="522"/>
      <c r="Y452" s="522"/>
      <c r="Z452" s="738">
        <f t="shared" si="287"/>
        <v>0</v>
      </c>
      <c r="AA452" s="739">
        <f t="shared" si="288"/>
        <v>0</v>
      </c>
    </row>
    <row r="453" spans="1:27" ht="22.5" customHeight="1" thickTop="1" thickBot="1" x14ac:dyDescent="0.3">
      <c r="A453" s="425">
        <v>1</v>
      </c>
      <c r="B453" s="505" t="s">
        <v>216</v>
      </c>
      <c r="C453" s="505" t="s">
        <v>227</v>
      </c>
      <c r="D453" s="505" t="s">
        <v>381</v>
      </c>
      <c r="E453" s="505" t="s">
        <v>231</v>
      </c>
      <c r="F453" s="505" t="s">
        <v>231</v>
      </c>
      <c r="G453" s="505" t="s">
        <v>537</v>
      </c>
      <c r="H453" s="505"/>
      <c r="I453" s="505"/>
      <c r="J453" s="505"/>
      <c r="K453" s="502" t="s">
        <v>676</v>
      </c>
      <c r="L453" s="427"/>
      <c r="M453" s="427"/>
      <c r="N453" s="427"/>
      <c r="O453" s="426">
        <f t="shared" si="286"/>
        <v>0</v>
      </c>
      <c r="P453" s="605"/>
      <c r="Q453" s="606"/>
      <c r="R453" s="607"/>
      <c r="S453" s="427"/>
      <c r="T453" s="427"/>
      <c r="U453" s="608"/>
      <c r="V453" s="737">
        <v>0</v>
      </c>
      <c r="W453" s="427"/>
      <c r="X453" s="522"/>
      <c r="Y453" s="522"/>
      <c r="Z453" s="738">
        <f t="shared" si="287"/>
        <v>0</v>
      </c>
      <c r="AA453" s="739">
        <f t="shared" si="288"/>
        <v>0</v>
      </c>
    </row>
    <row r="454" spans="1:27" ht="22.5" customHeight="1" thickTop="1" thickBot="1" x14ac:dyDescent="0.3">
      <c r="A454" s="425">
        <v>1</v>
      </c>
      <c r="B454" s="505" t="s">
        <v>216</v>
      </c>
      <c r="C454" s="505" t="s">
        <v>227</v>
      </c>
      <c r="D454" s="505" t="s">
        <v>381</v>
      </c>
      <c r="E454" s="505" t="s">
        <v>231</v>
      </c>
      <c r="F454" s="505" t="s">
        <v>231</v>
      </c>
      <c r="G454" s="505" t="s">
        <v>539</v>
      </c>
      <c r="H454" s="505"/>
      <c r="I454" s="505"/>
      <c r="J454" s="505"/>
      <c r="K454" s="502" t="s">
        <v>677</v>
      </c>
      <c r="L454" s="427"/>
      <c r="M454" s="427"/>
      <c r="N454" s="427"/>
      <c r="O454" s="426">
        <f t="shared" si="286"/>
        <v>0</v>
      </c>
      <c r="P454" s="605"/>
      <c r="Q454" s="606"/>
      <c r="R454" s="607"/>
      <c r="S454" s="427"/>
      <c r="T454" s="427"/>
      <c r="U454" s="608"/>
      <c r="V454" s="737">
        <v>0</v>
      </c>
      <c r="W454" s="427"/>
      <c r="X454" s="522"/>
      <c r="Y454" s="522"/>
      <c r="Z454" s="738">
        <f t="shared" si="287"/>
        <v>0</v>
      </c>
      <c r="AA454" s="739">
        <f t="shared" si="288"/>
        <v>0</v>
      </c>
    </row>
    <row r="455" spans="1:27" ht="22.5" customHeight="1" thickTop="1" thickBot="1" x14ac:dyDescent="0.3">
      <c r="A455" s="425">
        <v>1</v>
      </c>
      <c r="B455" s="505" t="s">
        <v>216</v>
      </c>
      <c r="C455" s="505" t="s">
        <v>227</v>
      </c>
      <c r="D455" s="505" t="s">
        <v>381</v>
      </c>
      <c r="E455" s="505" t="s">
        <v>231</v>
      </c>
      <c r="F455" s="505" t="s">
        <v>231</v>
      </c>
      <c r="G455" s="505" t="s">
        <v>541</v>
      </c>
      <c r="H455" s="505"/>
      <c r="I455" s="505"/>
      <c r="J455" s="505"/>
      <c r="K455" s="502" t="s">
        <v>678</v>
      </c>
      <c r="L455" s="427"/>
      <c r="M455" s="427"/>
      <c r="N455" s="427"/>
      <c r="O455" s="426">
        <f t="shared" si="286"/>
        <v>0</v>
      </c>
      <c r="P455" s="605"/>
      <c r="Q455" s="606"/>
      <c r="R455" s="607"/>
      <c r="S455" s="427"/>
      <c r="T455" s="427"/>
      <c r="U455" s="608"/>
      <c r="V455" s="737">
        <v>0</v>
      </c>
      <c r="W455" s="427"/>
      <c r="X455" s="522"/>
      <c r="Y455" s="522"/>
      <c r="Z455" s="738">
        <f t="shared" si="287"/>
        <v>0</v>
      </c>
      <c r="AA455" s="739">
        <f t="shared" si="288"/>
        <v>0</v>
      </c>
    </row>
    <row r="456" spans="1:27" ht="22.5" customHeight="1" thickTop="1" thickBot="1" x14ac:dyDescent="0.3">
      <c r="A456" s="425">
        <v>1</v>
      </c>
      <c r="B456" s="505" t="s">
        <v>216</v>
      </c>
      <c r="C456" s="505" t="s">
        <v>227</v>
      </c>
      <c r="D456" s="505" t="s">
        <v>381</v>
      </c>
      <c r="E456" s="505" t="s">
        <v>231</v>
      </c>
      <c r="F456" s="505" t="s">
        <v>231</v>
      </c>
      <c r="G456" s="505" t="s">
        <v>543</v>
      </c>
      <c r="H456" s="505"/>
      <c r="I456" s="505"/>
      <c r="J456" s="505"/>
      <c r="K456" s="502" t="s">
        <v>679</v>
      </c>
      <c r="L456" s="427"/>
      <c r="M456" s="427"/>
      <c r="N456" s="427"/>
      <c r="O456" s="426">
        <f t="shared" si="286"/>
        <v>0</v>
      </c>
      <c r="P456" s="605"/>
      <c r="Q456" s="606"/>
      <c r="R456" s="607"/>
      <c r="S456" s="427"/>
      <c r="T456" s="427"/>
      <c r="U456" s="608"/>
      <c r="V456" s="737">
        <v>0</v>
      </c>
      <c r="W456" s="427"/>
      <c r="X456" s="522"/>
      <c r="Y456" s="522"/>
      <c r="Z456" s="738">
        <f t="shared" si="287"/>
        <v>0</v>
      </c>
      <c r="AA456" s="739">
        <f t="shared" si="288"/>
        <v>0</v>
      </c>
    </row>
    <row r="457" spans="1:27" ht="22.5" customHeight="1" thickTop="1" thickBot="1" x14ac:dyDescent="0.3">
      <c r="A457" s="425">
        <v>1</v>
      </c>
      <c r="B457" s="505" t="s">
        <v>216</v>
      </c>
      <c r="C457" s="505" t="s">
        <v>227</v>
      </c>
      <c r="D457" s="505" t="s">
        <v>381</v>
      </c>
      <c r="E457" s="505" t="s">
        <v>231</v>
      </c>
      <c r="F457" s="505" t="s">
        <v>231</v>
      </c>
      <c r="G457" s="505" t="s">
        <v>545</v>
      </c>
      <c r="H457" s="505"/>
      <c r="I457" s="505"/>
      <c r="J457" s="505"/>
      <c r="K457" s="502" t="s">
        <v>680</v>
      </c>
      <c r="L457" s="427"/>
      <c r="M457" s="427"/>
      <c r="N457" s="427"/>
      <c r="O457" s="426">
        <f t="shared" si="286"/>
        <v>0</v>
      </c>
      <c r="P457" s="605"/>
      <c r="Q457" s="606"/>
      <c r="R457" s="607"/>
      <c r="S457" s="427"/>
      <c r="T457" s="427"/>
      <c r="U457" s="608"/>
      <c r="V457" s="737">
        <v>0</v>
      </c>
      <c r="W457" s="427"/>
      <c r="X457" s="522"/>
      <c r="Y457" s="522"/>
      <c r="Z457" s="738">
        <f t="shared" si="287"/>
        <v>0</v>
      </c>
      <c r="AA457" s="739">
        <f t="shared" si="288"/>
        <v>0</v>
      </c>
    </row>
    <row r="458" spans="1:27" ht="22.5" customHeight="1" thickTop="1" thickBot="1" x14ac:dyDescent="0.3">
      <c r="A458" s="425">
        <v>1</v>
      </c>
      <c r="B458" s="505" t="s">
        <v>216</v>
      </c>
      <c r="C458" s="505" t="s">
        <v>227</v>
      </c>
      <c r="D458" s="505" t="s">
        <v>381</v>
      </c>
      <c r="E458" s="505" t="s">
        <v>231</v>
      </c>
      <c r="F458" s="505" t="s">
        <v>231</v>
      </c>
      <c r="G458" s="505" t="s">
        <v>547</v>
      </c>
      <c r="H458" s="505"/>
      <c r="I458" s="505"/>
      <c r="J458" s="505"/>
      <c r="K458" s="502" t="s">
        <v>681</v>
      </c>
      <c r="L458" s="427"/>
      <c r="M458" s="427"/>
      <c r="N458" s="427"/>
      <c r="O458" s="426">
        <f t="shared" si="286"/>
        <v>0</v>
      </c>
      <c r="P458" s="605"/>
      <c r="Q458" s="606"/>
      <c r="R458" s="607"/>
      <c r="S458" s="427"/>
      <c r="T458" s="427"/>
      <c r="U458" s="608"/>
      <c r="V458" s="737">
        <v>0</v>
      </c>
      <c r="W458" s="427"/>
      <c r="X458" s="522"/>
      <c r="Y458" s="522"/>
      <c r="Z458" s="738">
        <f t="shared" si="287"/>
        <v>0</v>
      </c>
      <c r="AA458" s="739">
        <f t="shared" si="288"/>
        <v>0</v>
      </c>
    </row>
    <row r="459" spans="1:27" ht="22.5" customHeight="1" thickTop="1" thickBot="1" x14ac:dyDescent="0.3">
      <c r="A459" s="425">
        <v>1</v>
      </c>
      <c r="B459" s="505" t="s">
        <v>216</v>
      </c>
      <c r="C459" s="505" t="s">
        <v>227</v>
      </c>
      <c r="D459" s="505" t="s">
        <v>381</v>
      </c>
      <c r="E459" s="505" t="s">
        <v>231</v>
      </c>
      <c r="F459" s="505" t="s">
        <v>231</v>
      </c>
      <c r="G459" s="505" t="s">
        <v>549</v>
      </c>
      <c r="H459" s="505"/>
      <c r="I459" s="505"/>
      <c r="J459" s="505"/>
      <c r="K459" s="502" t="s">
        <v>682</v>
      </c>
      <c r="L459" s="427"/>
      <c r="M459" s="427"/>
      <c r="N459" s="427"/>
      <c r="O459" s="426">
        <f t="shared" si="286"/>
        <v>0</v>
      </c>
      <c r="P459" s="605"/>
      <c r="Q459" s="606"/>
      <c r="R459" s="607"/>
      <c r="S459" s="427"/>
      <c r="T459" s="427"/>
      <c r="U459" s="608"/>
      <c r="V459" s="737">
        <v>0</v>
      </c>
      <c r="W459" s="427"/>
      <c r="X459" s="522"/>
      <c r="Y459" s="522"/>
      <c r="Z459" s="738">
        <f t="shared" si="287"/>
        <v>0</v>
      </c>
      <c r="AA459" s="739">
        <f t="shared" si="288"/>
        <v>0</v>
      </c>
    </row>
    <row r="460" spans="1:27" ht="22.5" customHeight="1" thickTop="1" thickBot="1" x14ac:dyDescent="0.3">
      <c r="A460" s="425">
        <v>1</v>
      </c>
      <c r="B460" s="505" t="s">
        <v>216</v>
      </c>
      <c r="C460" s="505" t="s">
        <v>227</v>
      </c>
      <c r="D460" s="505" t="s">
        <v>381</v>
      </c>
      <c r="E460" s="505" t="s">
        <v>231</v>
      </c>
      <c r="F460" s="505" t="s">
        <v>231</v>
      </c>
      <c r="G460" s="505" t="s">
        <v>327</v>
      </c>
      <c r="H460" s="505"/>
      <c r="I460" s="505"/>
      <c r="J460" s="505"/>
      <c r="K460" s="502" t="s">
        <v>683</v>
      </c>
      <c r="L460" s="427"/>
      <c r="M460" s="427"/>
      <c r="N460" s="427"/>
      <c r="O460" s="426">
        <f t="shared" si="286"/>
        <v>0</v>
      </c>
      <c r="P460" s="605"/>
      <c r="Q460" s="606"/>
      <c r="R460" s="607"/>
      <c r="S460" s="427"/>
      <c r="T460" s="427"/>
      <c r="U460" s="608"/>
      <c r="V460" s="737">
        <v>0</v>
      </c>
      <c r="W460" s="427"/>
      <c r="X460" s="522"/>
      <c r="Y460" s="522"/>
      <c r="Z460" s="738">
        <f t="shared" si="287"/>
        <v>0</v>
      </c>
      <c r="AA460" s="739">
        <f t="shared" si="288"/>
        <v>0</v>
      </c>
    </row>
    <row r="461" spans="1:27" ht="22.5" customHeight="1" thickTop="1" thickBot="1" x14ac:dyDescent="0.3">
      <c r="A461" s="425">
        <v>1</v>
      </c>
      <c r="B461" s="505" t="s">
        <v>216</v>
      </c>
      <c r="C461" s="505" t="s">
        <v>227</v>
      </c>
      <c r="D461" s="505" t="s">
        <v>381</v>
      </c>
      <c r="E461" s="505" t="s">
        <v>231</v>
      </c>
      <c r="F461" s="505" t="s">
        <v>231</v>
      </c>
      <c r="G461" s="505" t="s">
        <v>552</v>
      </c>
      <c r="H461" s="505"/>
      <c r="I461" s="505"/>
      <c r="J461" s="505"/>
      <c r="K461" s="502" t="s">
        <v>684</v>
      </c>
      <c r="L461" s="427"/>
      <c r="M461" s="427"/>
      <c r="N461" s="427"/>
      <c r="O461" s="426">
        <f t="shared" si="286"/>
        <v>0</v>
      </c>
      <c r="P461" s="605"/>
      <c r="Q461" s="606"/>
      <c r="R461" s="607"/>
      <c r="S461" s="427"/>
      <c r="T461" s="427"/>
      <c r="U461" s="608"/>
      <c r="V461" s="737">
        <v>0</v>
      </c>
      <c r="W461" s="427"/>
      <c r="X461" s="522"/>
      <c r="Y461" s="522"/>
      <c r="Z461" s="738">
        <f t="shared" si="287"/>
        <v>0</v>
      </c>
      <c r="AA461" s="739">
        <f t="shared" si="288"/>
        <v>0</v>
      </c>
    </row>
    <row r="462" spans="1:27" ht="22.5" customHeight="1" thickTop="1" thickBot="1" x14ac:dyDescent="0.3">
      <c r="A462" s="425">
        <v>1</v>
      </c>
      <c r="B462" s="505" t="s">
        <v>216</v>
      </c>
      <c r="C462" s="505" t="s">
        <v>227</v>
      </c>
      <c r="D462" s="505" t="s">
        <v>381</v>
      </c>
      <c r="E462" s="505" t="s">
        <v>231</v>
      </c>
      <c r="F462" s="505" t="s">
        <v>231</v>
      </c>
      <c r="G462" s="505" t="s">
        <v>554</v>
      </c>
      <c r="H462" s="505"/>
      <c r="I462" s="505"/>
      <c r="J462" s="505"/>
      <c r="K462" s="502" t="s">
        <v>685</v>
      </c>
      <c r="L462" s="427"/>
      <c r="M462" s="427"/>
      <c r="N462" s="427"/>
      <c r="O462" s="426">
        <f t="shared" si="286"/>
        <v>0</v>
      </c>
      <c r="P462" s="605"/>
      <c r="Q462" s="606"/>
      <c r="R462" s="607"/>
      <c r="S462" s="427"/>
      <c r="T462" s="427"/>
      <c r="U462" s="608"/>
      <c r="V462" s="737">
        <v>0</v>
      </c>
      <c r="W462" s="427"/>
      <c r="X462" s="522"/>
      <c r="Y462" s="522"/>
      <c r="Z462" s="738">
        <f t="shared" si="287"/>
        <v>0</v>
      </c>
      <c r="AA462" s="739">
        <f t="shared" si="288"/>
        <v>0</v>
      </c>
    </row>
    <row r="463" spans="1:27" ht="22.5" customHeight="1" thickTop="1" thickBot="1" x14ac:dyDescent="0.3">
      <c r="A463" s="425">
        <v>1</v>
      </c>
      <c r="B463" s="505" t="s">
        <v>216</v>
      </c>
      <c r="C463" s="505" t="s">
        <v>227</v>
      </c>
      <c r="D463" s="505" t="s">
        <v>381</v>
      </c>
      <c r="E463" s="505" t="s">
        <v>231</v>
      </c>
      <c r="F463" s="505" t="s">
        <v>231</v>
      </c>
      <c r="G463" s="505" t="s">
        <v>556</v>
      </c>
      <c r="H463" s="505"/>
      <c r="I463" s="505"/>
      <c r="J463" s="505"/>
      <c r="K463" s="502" t="s">
        <v>686</v>
      </c>
      <c r="L463" s="427"/>
      <c r="M463" s="427"/>
      <c r="N463" s="427"/>
      <c r="O463" s="426">
        <f t="shared" si="286"/>
        <v>0</v>
      </c>
      <c r="P463" s="605"/>
      <c r="Q463" s="606"/>
      <c r="R463" s="607"/>
      <c r="S463" s="427"/>
      <c r="T463" s="427"/>
      <c r="U463" s="608"/>
      <c r="V463" s="737">
        <v>0</v>
      </c>
      <c r="W463" s="427"/>
      <c r="X463" s="522"/>
      <c r="Y463" s="522"/>
      <c r="Z463" s="738">
        <f t="shared" si="287"/>
        <v>0</v>
      </c>
      <c r="AA463" s="739">
        <f t="shared" si="288"/>
        <v>0</v>
      </c>
    </row>
    <row r="464" spans="1:27" ht="22.5" customHeight="1" thickTop="1" thickBot="1" x14ac:dyDescent="0.3">
      <c r="A464" s="425">
        <v>1</v>
      </c>
      <c r="B464" s="505" t="s">
        <v>216</v>
      </c>
      <c r="C464" s="505" t="s">
        <v>227</v>
      </c>
      <c r="D464" s="505" t="s">
        <v>381</v>
      </c>
      <c r="E464" s="505" t="s">
        <v>231</v>
      </c>
      <c r="F464" s="505" t="s">
        <v>231</v>
      </c>
      <c r="G464" s="505" t="s">
        <v>558</v>
      </c>
      <c r="H464" s="505"/>
      <c r="I464" s="505"/>
      <c r="J464" s="505"/>
      <c r="K464" s="502" t="s">
        <v>687</v>
      </c>
      <c r="L464" s="427"/>
      <c r="M464" s="427"/>
      <c r="N464" s="427"/>
      <c r="O464" s="426">
        <f t="shared" si="286"/>
        <v>0</v>
      </c>
      <c r="P464" s="605"/>
      <c r="Q464" s="606"/>
      <c r="R464" s="607"/>
      <c r="S464" s="427"/>
      <c r="T464" s="427"/>
      <c r="U464" s="608"/>
      <c r="V464" s="737">
        <v>0</v>
      </c>
      <c r="W464" s="427"/>
      <c r="X464" s="522"/>
      <c r="Y464" s="522"/>
      <c r="Z464" s="738">
        <f t="shared" si="287"/>
        <v>0</v>
      </c>
      <c r="AA464" s="739">
        <f t="shared" si="288"/>
        <v>0</v>
      </c>
    </row>
    <row r="465" spans="1:27" ht="22.5" customHeight="1" thickTop="1" thickBot="1" x14ac:dyDescent="0.3">
      <c r="A465" s="425">
        <v>1</v>
      </c>
      <c r="B465" s="505" t="s">
        <v>216</v>
      </c>
      <c r="C465" s="505" t="s">
        <v>227</v>
      </c>
      <c r="D465" s="505" t="s">
        <v>381</v>
      </c>
      <c r="E465" s="505" t="s">
        <v>231</v>
      </c>
      <c r="F465" s="505" t="s">
        <v>231</v>
      </c>
      <c r="G465" s="505" t="s">
        <v>560</v>
      </c>
      <c r="H465" s="505"/>
      <c r="I465" s="505"/>
      <c r="J465" s="505"/>
      <c r="K465" s="502" t="s">
        <v>688</v>
      </c>
      <c r="L465" s="427"/>
      <c r="M465" s="427"/>
      <c r="N465" s="427"/>
      <c r="O465" s="426">
        <f t="shared" si="286"/>
        <v>0</v>
      </c>
      <c r="P465" s="605"/>
      <c r="Q465" s="606"/>
      <c r="R465" s="607"/>
      <c r="S465" s="427"/>
      <c r="T465" s="427"/>
      <c r="U465" s="608"/>
      <c r="V465" s="737">
        <v>0</v>
      </c>
      <c r="W465" s="427"/>
      <c r="X465" s="522"/>
      <c r="Y465" s="522"/>
      <c r="Z465" s="738">
        <f t="shared" si="287"/>
        <v>0</v>
      </c>
      <c r="AA465" s="739">
        <f t="shared" si="288"/>
        <v>0</v>
      </c>
    </row>
    <row r="466" spans="1:27" ht="22.5" customHeight="1" thickTop="1" thickBot="1" x14ac:dyDescent="0.3">
      <c r="A466" s="425">
        <v>1</v>
      </c>
      <c r="B466" s="505" t="s">
        <v>216</v>
      </c>
      <c r="C466" s="505" t="s">
        <v>227</v>
      </c>
      <c r="D466" s="505" t="s">
        <v>381</v>
      </c>
      <c r="E466" s="505" t="s">
        <v>231</v>
      </c>
      <c r="F466" s="505" t="s">
        <v>231</v>
      </c>
      <c r="G466" s="505" t="s">
        <v>562</v>
      </c>
      <c r="H466" s="505"/>
      <c r="I466" s="505"/>
      <c r="J466" s="505"/>
      <c r="K466" s="502" t="s">
        <v>689</v>
      </c>
      <c r="L466" s="427"/>
      <c r="M466" s="427"/>
      <c r="N466" s="427"/>
      <c r="O466" s="426">
        <f t="shared" si="286"/>
        <v>0</v>
      </c>
      <c r="P466" s="605"/>
      <c r="Q466" s="606"/>
      <c r="R466" s="607"/>
      <c r="S466" s="427"/>
      <c r="T466" s="427"/>
      <c r="U466" s="608"/>
      <c r="V466" s="737">
        <v>0</v>
      </c>
      <c r="W466" s="427"/>
      <c r="X466" s="522"/>
      <c r="Y466" s="522"/>
      <c r="Z466" s="738">
        <f t="shared" si="287"/>
        <v>0</v>
      </c>
      <c r="AA466" s="739">
        <f t="shared" si="288"/>
        <v>0</v>
      </c>
    </row>
    <row r="467" spans="1:27" ht="22.5" customHeight="1" thickTop="1" thickBot="1" x14ac:dyDescent="0.3">
      <c r="A467" s="425">
        <v>1</v>
      </c>
      <c r="B467" s="505" t="s">
        <v>216</v>
      </c>
      <c r="C467" s="505" t="s">
        <v>227</v>
      </c>
      <c r="D467" s="505" t="s">
        <v>381</v>
      </c>
      <c r="E467" s="505" t="s">
        <v>231</v>
      </c>
      <c r="F467" s="505" t="s">
        <v>231</v>
      </c>
      <c r="G467" s="505" t="s">
        <v>564</v>
      </c>
      <c r="H467" s="505"/>
      <c r="I467" s="505"/>
      <c r="J467" s="505"/>
      <c r="K467" s="502" t="s">
        <v>690</v>
      </c>
      <c r="L467" s="427"/>
      <c r="M467" s="427"/>
      <c r="N467" s="427"/>
      <c r="O467" s="426">
        <f t="shared" si="286"/>
        <v>0</v>
      </c>
      <c r="P467" s="605"/>
      <c r="Q467" s="606"/>
      <c r="R467" s="607"/>
      <c r="S467" s="427"/>
      <c r="T467" s="427"/>
      <c r="U467" s="608"/>
      <c r="V467" s="737">
        <v>0</v>
      </c>
      <c r="W467" s="427"/>
      <c r="X467" s="522"/>
      <c r="Y467" s="522"/>
      <c r="Z467" s="738">
        <f t="shared" si="287"/>
        <v>0</v>
      </c>
      <c r="AA467" s="739">
        <f t="shared" si="288"/>
        <v>0</v>
      </c>
    </row>
    <row r="468" spans="1:27" ht="22.5" customHeight="1" thickTop="1" thickBot="1" x14ac:dyDescent="0.3">
      <c r="A468" s="425">
        <v>1</v>
      </c>
      <c r="B468" s="505" t="s">
        <v>216</v>
      </c>
      <c r="C468" s="505" t="s">
        <v>227</v>
      </c>
      <c r="D468" s="505" t="s">
        <v>381</v>
      </c>
      <c r="E468" s="505" t="s">
        <v>231</v>
      </c>
      <c r="F468" s="505" t="s">
        <v>231</v>
      </c>
      <c r="G468" s="505" t="s">
        <v>566</v>
      </c>
      <c r="H468" s="505"/>
      <c r="I468" s="505"/>
      <c r="J468" s="505"/>
      <c r="K468" s="502" t="s">
        <v>691</v>
      </c>
      <c r="L468" s="427"/>
      <c r="M468" s="427"/>
      <c r="N468" s="427"/>
      <c r="O468" s="426">
        <f t="shared" si="286"/>
        <v>0</v>
      </c>
      <c r="P468" s="605"/>
      <c r="Q468" s="606"/>
      <c r="R468" s="607"/>
      <c r="S468" s="427"/>
      <c r="T468" s="427"/>
      <c r="U468" s="608"/>
      <c r="V468" s="737">
        <v>0</v>
      </c>
      <c r="W468" s="427"/>
      <c r="X468" s="522"/>
      <c r="Y468" s="522"/>
      <c r="Z468" s="738">
        <f t="shared" si="287"/>
        <v>0</v>
      </c>
      <c r="AA468" s="739">
        <f t="shared" si="288"/>
        <v>0</v>
      </c>
    </row>
    <row r="469" spans="1:27" ht="22.5" customHeight="1" thickTop="1" thickBot="1" x14ac:dyDescent="0.3">
      <c r="A469" s="425">
        <v>1</v>
      </c>
      <c r="B469" s="505" t="s">
        <v>216</v>
      </c>
      <c r="C469" s="505" t="s">
        <v>227</v>
      </c>
      <c r="D469" s="505" t="s">
        <v>381</v>
      </c>
      <c r="E469" s="505" t="s">
        <v>231</v>
      </c>
      <c r="F469" s="505" t="s">
        <v>231</v>
      </c>
      <c r="G469" s="505" t="s">
        <v>657</v>
      </c>
      <c r="H469" s="505"/>
      <c r="I469" s="505"/>
      <c r="J469" s="505"/>
      <c r="K469" s="502" t="s">
        <v>692</v>
      </c>
      <c r="L469" s="427"/>
      <c r="M469" s="427"/>
      <c r="N469" s="427"/>
      <c r="O469" s="426">
        <f t="shared" si="286"/>
        <v>0</v>
      </c>
      <c r="P469" s="605"/>
      <c r="Q469" s="606"/>
      <c r="R469" s="607"/>
      <c r="S469" s="427"/>
      <c r="T469" s="427"/>
      <c r="U469" s="608"/>
      <c r="V469" s="737">
        <v>0</v>
      </c>
      <c r="W469" s="427"/>
      <c r="X469" s="522"/>
      <c r="Y469" s="522"/>
      <c r="Z469" s="738">
        <f t="shared" si="287"/>
        <v>0</v>
      </c>
      <c r="AA469" s="739">
        <f t="shared" si="288"/>
        <v>0</v>
      </c>
    </row>
    <row r="470" spans="1:27" ht="22.5" customHeight="1" thickTop="1" thickBot="1" x14ac:dyDescent="0.3">
      <c r="A470" s="425">
        <v>1</v>
      </c>
      <c r="B470" s="505" t="s">
        <v>216</v>
      </c>
      <c r="C470" s="505" t="s">
        <v>227</v>
      </c>
      <c r="D470" s="505" t="s">
        <v>381</v>
      </c>
      <c r="E470" s="505" t="s">
        <v>231</v>
      </c>
      <c r="F470" s="505" t="s">
        <v>305</v>
      </c>
      <c r="G470" s="505"/>
      <c r="H470" s="505"/>
      <c r="I470" s="505"/>
      <c r="J470" s="505"/>
      <c r="K470" s="502" t="s">
        <v>693</v>
      </c>
      <c r="L470" s="427">
        <f>SUM(L471:L501)</f>
        <v>0</v>
      </c>
      <c r="M470" s="427">
        <f t="shared" ref="M470:U470" si="289">SUM(M471:M501)</f>
        <v>0</v>
      </c>
      <c r="N470" s="427">
        <f t="shared" si="289"/>
        <v>0</v>
      </c>
      <c r="O470" s="427">
        <f t="shared" si="289"/>
        <v>0</v>
      </c>
      <c r="P470" s="605">
        <f t="shared" si="289"/>
        <v>0</v>
      </c>
      <c r="Q470" s="606">
        <f t="shared" si="289"/>
        <v>0</v>
      </c>
      <c r="R470" s="607">
        <f t="shared" si="289"/>
        <v>0</v>
      </c>
      <c r="S470" s="427">
        <f t="shared" si="289"/>
        <v>0</v>
      </c>
      <c r="T470" s="427">
        <f t="shared" si="289"/>
        <v>0</v>
      </c>
      <c r="U470" s="608">
        <f t="shared" si="289"/>
        <v>0</v>
      </c>
      <c r="V470" s="427" t="e">
        <f t="shared" ref="V470:V519" si="290">+U470/T470</f>
        <v>#DIV/0!</v>
      </c>
      <c r="W470" s="427"/>
      <c r="X470" s="522"/>
      <c r="Y470" s="522"/>
    </row>
    <row r="471" spans="1:27" ht="22.5" customHeight="1" thickTop="1" thickBot="1" x14ac:dyDescent="0.3">
      <c r="A471" s="425">
        <v>1</v>
      </c>
      <c r="B471" s="505" t="s">
        <v>216</v>
      </c>
      <c r="C471" s="505" t="s">
        <v>227</v>
      </c>
      <c r="D471" s="505" t="s">
        <v>381</v>
      </c>
      <c r="E471" s="505" t="s">
        <v>231</v>
      </c>
      <c r="F471" s="505" t="s">
        <v>305</v>
      </c>
      <c r="G471" s="505" t="s">
        <v>220</v>
      </c>
      <c r="H471" s="505"/>
      <c r="I471" s="505"/>
      <c r="J471" s="505"/>
      <c r="K471" s="502" t="s">
        <v>694</v>
      </c>
      <c r="L471" s="427"/>
      <c r="M471" s="427"/>
      <c r="N471" s="427"/>
      <c r="O471" s="426">
        <f t="shared" ref="O471:O501" si="291">+L471+M471-N471</f>
        <v>0</v>
      </c>
      <c r="P471" s="605"/>
      <c r="Q471" s="606"/>
      <c r="R471" s="607"/>
      <c r="S471" s="427"/>
      <c r="T471" s="427"/>
      <c r="U471" s="608"/>
      <c r="V471" s="737">
        <v>0</v>
      </c>
      <c r="W471" s="427"/>
      <c r="X471" s="522"/>
      <c r="Y471" s="522"/>
      <c r="Z471" s="738">
        <f t="shared" ref="Z471:Z517" si="292">SUBTOTAL(9,P471:S471)</f>
        <v>0</v>
      </c>
      <c r="AA471" s="739">
        <f t="shared" ref="AA471:AA517" si="293">+Z471-O471</f>
        <v>0</v>
      </c>
    </row>
    <row r="472" spans="1:27" ht="22.5" customHeight="1" thickTop="1" thickBot="1" x14ac:dyDescent="0.3">
      <c r="A472" s="425">
        <v>1</v>
      </c>
      <c r="B472" s="505" t="s">
        <v>216</v>
      </c>
      <c r="C472" s="505" t="s">
        <v>227</v>
      </c>
      <c r="D472" s="505" t="s">
        <v>381</v>
      </c>
      <c r="E472" s="505" t="s">
        <v>231</v>
      </c>
      <c r="F472" s="505" t="s">
        <v>305</v>
      </c>
      <c r="G472" s="505" t="s">
        <v>231</v>
      </c>
      <c r="H472" s="505"/>
      <c r="I472" s="505"/>
      <c r="J472" s="505"/>
      <c r="K472" s="502" t="s">
        <v>695</v>
      </c>
      <c r="L472" s="427"/>
      <c r="M472" s="427"/>
      <c r="N472" s="427"/>
      <c r="O472" s="426">
        <f t="shared" si="291"/>
        <v>0</v>
      </c>
      <c r="P472" s="605"/>
      <c r="Q472" s="606"/>
      <c r="R472" s="607"/>
      <c r="S472" s="427"/>
      <c r="T472" s="427"/>
      <c r="U472" s="608"/>
      <c r="V472" s="737">
        <v>0</v>
      </c>
      <c r="W472" s="427"/>
      <c r="X472" s="522"/>
      <c r="Y472" s="522"/>
      <c r="Z472" s="738">
        <f t="shared" si="292"/>
        <v>0</v>
      </c>
      <c r="AA472" s="739">
        <f t="shared" si="293"/>
        <v>0</v>
      </c>
    </row>
    <row r="473" spans="1:27" ht="22.5" customHeight="1" thickTop="1" thickBot="1" x14ac:dyDescent="0.3">
      <c r="A473" s="425">
        <v>1</v>
      </c>
      <c r="B473" s="505" t="s">
        <v>216</v>
      </c>
      <c r="C473" s="505" t="s">
        <v>227</v>
      </c>
      <c r="D473" s="505" t="s">
        <v>381</v>
      </c>
      <c r="E473" s="505" t="s">
        <v>231</v>
      </c>
      <c r="F473" s="505" t="s">
        <v>305</v>
      </c>
      <c r="G473" s="505" t="s">
        <v>305</v>
      </c>
      <c r="H473" s="505"/>
      <c r="I473" s="505"/>
      <c r="J473" s="505"/>
      <c r="K473" s="502" t="s">
        <v>696</v>
      </c>
      <c r="L473" s="427"/>
      <c r="M473" s="427"/>
      <c r="N473" s="427"/>
      <c r="O473" s="426">
        <f t="shared" si="291"/>
        <v>0</v>
      </c>
      <c r="P473" s="605"/>
      <c r="Q473" s="606"/>
      <c r="R473" s="607"/>
      <c r="S473" s="427"/>
      <c r="T473" s="427"/>
      <c r="U473" s="608"/>
      <c r="V473" s="737">
        <v>0</v>
      </c>
      <c r="W473" s="427"/>
      <c r="X473" s="522"/>
      <c r="Y473" s="522"/>
      <c r="Z473" s="738">
        <f t="shared" si="292"/>
        <v>0</v>
      </c>
      <c r="AA473" s="739">
        <f t="shared" si="293"/>
        <v>0</v>
      </c>
    </row>
    <row r="474" spans="1:27" ht="22.5" customHeight="1" thickTop="1" thickBot="1" x14ac:dyDescent="0.3">
      <c r="A474" s="425">
        <v>1</v>
      </c>
      <c r="B474" s="505" t="s">
        <v>216</v>
      </c>
      <c r="C474" s="505" t="s">
        <v>227</v>
      </c>
      <c r="D474" s="505" t="s">
        <v>381</v>
      </c>
      <c r="E474" s="505" t="s">
        <v>231</v>
      </c>
      <c r="F474" s="505" t="s">
        <v>305</v>
      </c>
      <c r="G474" s="505" t="s">
        <v>313</v>
      </c>
      <c r="H474" s="505"/>
      <c r="I474" s="505"/>
      <c r="J474" s="505"/>
      <c r="K474" s="502" t="s">
        <v>697</v>
      </c>
      <c r="L474" s="427"/>
      <c r="M474" s="427"/>
      <c r="N474" s="427"/>
      <c r="O474" s="426">
        <f t="shared" si="291"/>
        <v>0</v>
      </c>
      <c r="P474" s="605"/>
      <c r="Q474" s="606"/>
      <c r="R474" s="607"/>
      <c r="S474" s="427"/>
      <c r="T474" s="427"/>
      <c r="U474" s="608"/>
      <c r="V474" s="737">
        <v>0</v>
      </c>
      <c r="W474" s="427"/>
      <c r="X474" s="522"/>
      <c r="Y474" s="522"/>
      <c r="Z474" s="738">
        <f t="shared" si="292"/>
        <v>0</v>
      </c>
      <c r="AA474" s="739">
        <f t="shared" si="293"/>
        <v>0</v>
      </c>
    </row>
    <row r="475" spans="1:27" ht="22.5" customHeight="1" thickTop="1" thickBot="1" x14ac:dyDescent="0.3">
      <c r="A475" s="425">
        <v>1</v>
      </c>
      <c r="B475" s="505" t="s">
        <v>216</v>
      </c>
      <c r="C475" s="505" t="s">
        <v>227</v>
      </c>
      <c r="D475" s="505" t="s">
        <v>381</v>
      </c>
      <c r="E475" s="505" t="s">
        <v>231</v>
      </c>
      <c r="F475" s="505" t="s">
        <v>305</v>
      </c>
      <c r="G475" s="505" t="s">
        <v>243</v>
      </c>
      <c r="H475" s="505"/>
      <c r="I475" s="505"/>
      <c r="J475" s="505"/>
      <c r="K475" s="502" t="s">
        <v>698</v>
      </c>
      <c r="L475" s="427"/>
      <c r="M475" s="427"/>
      <c r="N475" s="427"/>
      <c r="O475" s="426">
        <f t="shared" si="291"/>
        <v>0</v>
      </c>
      <c r="P475" s="605"/>
      <c r="Q475" s="606"/>
      <c r="R475" s="607"/>
      <c r="S475" s="427"/>
      <c r="T475" s="427"/>
      <c r="U475" s="608"/>
      <c r="V475" s="737">
        <v>0</v>
      </c>
      <c r="W475" s="427"/>
      <c r="X475" s="522"/>
      <c r="Y475" s="522"/>
      <c r="Z475" s="738">
        <f t="shared" si="292"/>
        <v>0</v>
      </c>
      <c r="AA475" s="739">
        <f t="shared" si="293"/>
        <v>0</v>
      </c>
    </row>
    <row r="476" spans="1:27" ht="22.5" customHeight="1" thickTop="1" thickBot="1" x14ac:dyDescent="0.3">
      <c r="A476" s="425">
        <v>1</v>
      </c>
      <c r="B476" s="505" t="s">
        <v>216</v>
      </c>
      <c r="C476" s="505" t="s">
        <v>227</v>
      </c>
      <c r="D476" s="505" t="s">
        <v>381</v>
      </c>
      <c r="E476" s="505" t="s">
        <v>231</v>
      </c>
      <c r="F476" s="505" t="s">
        <v>305</v>
      </c>
      <c r="G476" s="505" t="s">
        <v>361</v>
      </c>
      <c r="H476" s="505"/>
      <c r="I476" s="505"/>
      <c r="J476" s="505"/>
      <c r="K476" s="502" t="s">
        <v>699</v>
      </c>
      <c r="L476" s="427"/>
      <c r="M476" s="427"/>
      <c r="N476" s="427"/>
      <c r="O476" s="426">
        <f t="shared" si="291"/>
        <v>0</v>
      </c>
      <c r="P476" s="605"/>
      <c r="Q476" s="606"/>
      <c r="R476" s="607"/>
      <c r="S476" s="427"/>
      <c r="T476" s="427"/>
      <c r="U476" s="608"/>
      <c r="V476" s="737">
        <v>0</v>
      </c>
      <c r="W476" s="427"/>
      <c r="X476" s="522"/>
      <c r="Y476" s="522"/>
      <c r="Z476" s="738">
        <f t="shared" si="292"/>
        <v>0</v>
      </c>
      <c r="AA476" s="739">
        <f t="shared" si="293"/>
        <v>0</v>
      </c>
    </row>
    <row r="477" spans="1:27" ht="22.5" customHeight="1" thickTop="1" thickBot="1" x14ac:dyDescent="0.3">
      <c r="A477" s="425">
        <v>1</v>
      </c>
      <c r="B477" s="505" t="s">
        <v>216</v>
      </c>
      <c r="C477" s="505" t="s">
        <v>227</v>
      </c>
      <c r="D477" s="505" t="s">
        <v>381</v>
      </c>
      <c r="E477" s="505" t="s">
        <v>231</v>
      </c>
      <c r="F477" s="505" t="s">
        <v>305</v>
      </c>
      <c r="G477" s="505" t="s">
        <v>366</v>
      </c>
      <c r="H477" s="505"/>
      <c r="I477" s="505"/>
      <c r="J477" s="505"/>
      <c r="K477" s="502" t="s">
        <v>700</v>
      </c>
      <c r="L477" s="427"/>
      <c r="M477" s="427"/>
      <c r="N477" s="427"/>
      <c r="O477" s="426">
        <f t="shared" si="291"/>
        <v>0</v>
      </c>
      <c r="P477" s="605"/>
      <c r="Q477" s="606"/>
      <c r="R477" s="607"/>
      <c r="S477" s="427"/>
      <c r="T477" s="427"/>
      <c r="U477" s="608"/>
      <c r="V477" s="737">
        <v>0</v>
      </c>
      <c r="W477" s="427"/>
      <c r="X477" s="522"/>
      <c r="Y477" s="522"/>
      <c r="Z477" s="738">
        <f t="shared" si="292"/>
        <v>0</v>
      </c>
      <c r="AA477" s="739">
        <f t="shared" si="293"/>
        <v>0</v>
      </c>
    </row>
    <row r="478" spans="1:27" ht="22.5" customHeight="1" thickTop="1" thickBot="1" x14ac:dyDescent="0.3">
      <c r="A478" s="425">
        <v>1</v>
      </c>
      <c r="B478" s="505" t="s">
        <v>216</v>
      </c>
      <c r="C478" s="505" t="s">
        <v>227</v>
      </c>
      <c r="D478" s="505" t="s">
        <v>381</v>
      </c>
      <c r="E478" s="505" t="s">
        <v>231</v>
      </c>
      <c r="F478" s="505" t="s">
        <v>305</v>
      </c>
      <c r="G478" s="505" t="s">
        <v>371</v>
      </c>
      <c r="H478" s="505"/>
      <c r="I478" s="505"/>
      <c r="J478" s="505"/>
      <c r="K478" s="502" t="s">
        <v>701</v>
      </c>
      <c r="L478" s="427"/>
      <c r="M478" s="427"/>
      <c r="N478" s="427"/>
      <c r="O478" s="426">
        <f t="shared" si="291"/>
        <v>0</v>
      </c>
      <c r="P478" s="605"/>
      <c r="Q478" s="606"/>
      <c r="R478" s="607"/>
      <c r="S478" s="427"/>
      <c r="T478" s="427"/>
      <c r="U478" s="608"/>
      <c r="V478" s="737">
        <v>0</v>
      </c>
      <c r="W478" s="427"/>
      <c r="X478" s="522"/>
      <c r="Y478" s="522"/>
      <c r="Z478" s="738">
        <f t="shared" si="292"/>
        <v>0</v>
      </c>
      <c r="AA478" s="739">
        <f t="shared" si="293"/>
        <v>0</v>
      </c>
    </row>
    <row r="479" spans="1:27" ht="22.5" customHeight="1" thickTop="1" thickBot="1" x14ac:dyDescent="0.3">
      <c r="A479" s="425">
        <v>1</v>
      </c>
      <c r="B479" s="505" t="s">
        <v>216</v>
      </c>
      <c r="C479" s="505" t="s">
        <v>227</v>
      </c>
      <c r="D479" s="505" t="s">
        <v>381</v>
      </c>
      <c r="E479" s="505" t="s">
        <v>231</v>
      </c>
      <c r="F479" s="505" t="s">
        <v>305</v>
      </c>
      <c r="G479" s="505" t="s">
        <v>376</v>
      </c>
      <c r="H479" s="505"/>
      <c r="I479" s="505"/>
      <c r="J479" s="505"/>
      <c r="K479" s="502" t="s">
        <v>702</v>
      </c>
      <c r="L479" s="427"/>
      <c r="M479" s="427"/>
      <c r="N479" s="427"/>
      <c r="O479" s="426">
        <f t="shared" si="291"/>
        <v>0</v>
      </c>
      <c r="P479" s="605"/>
      <c r="Q479" s="606"/>
      <c r="R479" s="607"/>
      <c r="S479" s="427"/>
      <c r="T479" s="427"/>
      <c r="U479" s="608"/>
      <c r="V479" s="737">
        <v>0</v>
      </c>
      <c r="W479" s="427"/>
      <c r="X479" s="522"/>
      <c r="Y479" s="522"/>
      <c r="Z479" s="738">
        <f t="shared" si="292"/>
        <v>0</v>
      </c>
      <c r="AA479" s="739">
        <f t="shared" si="293"/>
        <v>0</v>
      </c>
    </row>
    <row r="480" spans="1:27" ht="22.5" customHeight="1" thickTop="1" thickBot="1" x14ac:dyDescent="0.3">
      <c r="A480" s="425">
        <v>1</v>
      </c>
      <c r="B480" s="505" t="s">
        <v>216</v>
      </c>
      <c r="C480" s="505" t="s">
        <v>227</v>
      </c>
      <c r="D480" s="505" t="s">
        <v>381</v>
      </c>
      <c r="E480" s="505" t="s">
        <v>231</v>
      </c>
      <c r="F480" s="505" t="s">
        <v>305</v>
      </c>
      <c r="G480" s="505" t="s">
        <v>381</v>
      </c>
      <c r="H480" s="505"/>
      <c r="I480" s="505"/>
      <c r="J480" s="505"/>
      <c r="K480" s="502" t="s">
        <v>703</v>
      </c>
      <c r="L480" s="427"/>
      <c r="M480" s="427"/>
      <c r="N480" s="427"/>
      <c r="O480" s="426">
        <f t="shared" si="291"/>
        <v>0</v>
      </c>
      <c r="P480" s="605"/>
      <c r="Q480" s="606"/>
      <c r="R480" s="607"/>
      <c r="S480" s="427"/>
      <c r="T480" s="427"/>
      <c r="U480" s="608"/>
      <c r="V480" s="737">
        <v>0</v>
      </c>
      <c r="W480" s="427"/>
      <c r="X480" s="522"/>
      <c r="Y480" s="522"/>
      <c r="Z480" s="738">
        <f t="shared" si="292"/>
        <v>0</v>
      </c>
      <c r="AA480" s="739">
        <f t="shared" si="293"/>
        <v>0</v>
      </c>
    </row>
    <row r="481" spans="1:27" ht="22.5" customHeight="1" thickTop="1" thickBot="1" x14ac:dyDescent="0.3">
      <c r="A481" s="425">
        <v>1</v>
      </c>
      <c r="B481" s="505" t="s">
        <v>216</v>
      </c>
      <c r="C481" s="505" t="s">
        <v>227</v>
      </c>
      <c r="D481" s="505" t="s">
        <v>381</v>
      </c>
      <c r="E481" s="505" t="s">
        <v>231</v>
      </c>
      <c r="F481" s="505" t="s">
        <v>305</v>
      </c>
      <c r="G481" s="505" t="s">
        <v>531</v>
      </c>
      <c r="H481" s="505"/>
      <c r="I481" s="505"/>
      <c r="J481" s="505"/>
      <c r="K481" s="502" t="s">
        <v>704</v>
      </c>
      <c r="L481" s="427"/>
      <c r="M481" s="427"/>
      <c r="N481" s="427"/>
      <c r="O481" s="426">
        <f t="shared" si="291"/>
        <v>0</v>
      </c>
      <c r="P481" s="605"/>
      <c r="Q481" s="606"/>
      <c r="R481" s="607"/>
      <c r="S481" s="427"/>
      <c r="T481" s="427"/>
      <c r="U481" s="608"/>
      <c r="V481" s="737">
        <v>0</v>
      </c>
      <c r="W481" s="427"/>
      <c r="X481" s="522"/>
      <c r="Y481" s="522"/>
      <c r="Z481" s="738">
        <f t="shared" si="292"/>
        <v>0</v>
      </c>
      <c r="AA481" s="739">
        <f t="shared" si="293"/>
        <v>0</v>
      </c>
    </row>
    <row r="482" spans="1:27" ht="22.5" customHeight="1" thickTop="1" thickBot="1" x14ac:dyDescent="0.3">
      <c r="A482" s="425">
        <v>1</v>
      </c>
      <c r="B482" s="505" t="s">
        <v>216</v>
      </c>
      <c r="C482" s="505" t="s">
        <v>227</v>
      </c>
      <c r="D482" s="505" t="s">
        <v>381</v>
      </c>
      <c r="E482" s="505" t="s">
        <v>231</v>
      </c>
      <c r="F482" s="505" t="s">
        <v>305</v>
      </c>
      <c r="G482" s="505" t="s">
        <v>533</v>
      </c>
      <c r="H482" s="505"/>
      <c r="I482" s="505"/>
      <c r="J482" s="505"/>
      <c r="K482" s="502" t="s">
        <v>705</v>
      </c>
      <c r="L482" s="427"/>
      <c r="M482" s="427"/>
      <c r="N482" s="427"/>
      <c r="O482" s="426">
        <f t="shared" si="291"/>
        <v>0</v>
      </c>
      <c r="P482" s="605"/>
      <c r="Q482" s="606"/>
      <c r="R482" s="607"/>
      <c r="S482" s="427"/>
      <c r="T482" s="427"/>
      <c r="U482" s="608"/>
      <c r="V482" s="737">
        <v>0</v>
      </c>
      <c r="W482" s="427"/>
      <c r="X482" s="522"/>
      <c r="Y482" s="522"/>
      <c r="Z482" s="738">
        <f t="shared" si="292"/>
        <v>0</v>
      </c>
      <c r="AA482" s="739">
        <f t="shared" si="293"/>
        <v>0</v>
      </c>
    </row>
    <row r="483" spans="1:27" ht="22.5" customHeight="1" thickTop="1" thickBot="1" x14ac:dyDescent="0.3">
      <c r="A483" s="425">
        <v>1</v>
      </c>
      <c r="B483" s="505" t="s">
        <v>216</v>
      </c>
      <c r="C483" s="505" t="s">
        <v>227</v>
      </c>
      <c r="D483" s="505" t="s">
        <v>381</v>
      </c>
      <c r="E483" s="505" t="s">
        <v>231</v>
      </c>
      <c r="F483" s="505" t="s">
        <v>305</v>
      </c>
      <c r="G483" s="505" t="s">
        <v>322</v>
      </c>
      <c r="H483" s="505"/>
      <c r="I483" s="505"/>
      <c r="J483" s="505"/>
      <c r="K483" s="502" t="s">
        <v>706</v>
      </c>
      <c r="L483" s="427"/>
      <c r="M483" s="427"/>
      <c r="N483" s="427"/>
      <c r="O483" s="426">
        <f t="shared" si="291"/>
        <v>0</v>
      </c>
      <c r="P483" s="605"/>
      <c r="Q483" s="606"/>
      <c r="R483" s="607"/>
      <c r="S483" s="427"/>
      <c r="T483" s="427"/>
      <c r="U483" s="608"/>
      <c r="V483" s="737">
        <v>0</v>
      </c>
      <c r="W483" s="427"/>
      <c r="X483" s="522"/>
      <c r="Y483" s="522"/>
      <c r="Z483" s="738">
        <f t="shared" si="292"/>
        <v>0</v>
      </c>
      <c r="AA483" s="739">
        <f t="shared" si="293"/>
        <v>0</v>
      </c>
    </row>
    <row r="484" spans="1:27" ht="22.5" customHeight="1" thickTop="1" thickBot="1" x14ac:dyDescent="0.3">
      <c r="A484" s="425">
        <v>1</v>
      </c>
      <c r="B484" s="505" t="s">
        <v>216</v>
      </c>
      <c r="C484" s="505" t="s">
        <v>227</v>
      </c>
      <c r="D484" s="505" t="s">
        <v>381</v>
      </c>
      <c r="E484" s="505" t="s">
        <v>231</v>
      </c>
      <c r="F484" s="505" t="s">
        <v>305</v>
      </c>
      <c r="G484" s="505" t="s">
        <v>394</v>
      </c>
      <c r="H484" s="505"/>
      <c r="I484" s="505"/>
      <c r="J484" s="505"/>
      <c r="K484" s="502" t="s">
        <v>707</v>
      </c>
      <c r="L484" s="427"/>
      <c r="M484" s="427"/>
      <c r="N484" s="427"/>
      <c r="O484" s="426">
        <f t="shared" si="291"/>
        <v>0</v>
      </c>
      <c r="P484" s="605"/>
      <c r="Q484" s="606"/>
      <c r="R484" s="607"/>
      <c r="S484" s="427"/>
      <c r="T484" s="427"/>
      <c r="U484" s="608"/>
      <c r="V484" s="737">
        <v>0</v>
      </c>
      <c r="W484" s="427"/>
      <c r="X484" s="522"/>
      <c r="Y484" s="522"/>
      <c r="Z484" s="738">
        <f t="shared" si="292"/>
        <v>0</v>
      </c>
      <c r="AA484" s="739">
        <f t="shared" si="293"/>
        <v>0</v>
      </c>
    </row>
    <row r="485" spans="1:27" ht="22.5" customHeight="1" thickTop="1" thickBot="1" x14ac:dyDescent="0.3">
      <c r="A485" s="425">
        <v>1</v>
      </c>
      <c r="B485" s="505" t="s">
        <v>216</v>
      </c>
      <c r="C485" s="505" t="s">
        <v>227</v>
      </c>
      <c r="D485" s="505" t="s">
        <v>381</v>
      </c>
      <c r="E485" s="505" t="s">
        <v>231</v>
      </c>
      <c r="F485" s="505" t="s">
        <v>305</v>
      </c>
      <c r="G485" s="505" t="s">
        <v>537</v>
      </c>
      <c r="H485" s="505"/>
      <c r="I485" s="505"/>
      <c r="J485" s="505"/>
      <c r="K485" s="502" t="s">
        <v>708</v>
      </c>
      <c r="L485" s="427"/>
      <c r="M485" s="427"/>
      <c r="N485" s="427"/>
      <c r="O485" s="426">
        <f t="shared" si="291"/>
        <v>0</v>
      </c>
      <c r="P485" s="605"/>
      <c r="Q485" s="606"/>
      <c r="R485" s="607"/>
      <c r="S485" s="427"/>
      <c r="T485" s="427"/>
      <c r="U485" s="608"/>
      <c r="V485" s="737">
        <v>0</v>
      </c>
      <c r="W485" s="427"/>
      <c r="X485" s="522"/>
      <c r="Y485" s="522"/>
      <c r="Z485" s="738">
        <f t="shared" si="292"/>
        <v>0</v>
      </c>
      <c r="AA485" s="739">
        <f t="shared" si="293"/>
        <v>0</v>
      </c>
    </row>
    <row r="486" spans="1:27" ht="22.5" customHeight="1" thickTop="1" thickBot="1" x14ac:dyDescent="0.3">
      <c r="A486" s="425">
        <v>1</v>
      </c>
      <c r="B486" s="505" t="s">
        <v>216</v>
      </c>
      <c r="C486" s="505" t="s">
        <v>227</v>
      </c>
      <c r="D486" s="505" t="s">
        <v>381</v>
      </c>
      <c r="E486" s="505" t="s">
        <v>231</v>
      </c>
      <c r="F486" s="505" t="s">
        <v>305</v>
      </c>
      <c r="G486" s="505" t="s">
        <v>539</v>
      </c>
      <c r="H486" s="505"/>
      <c r="I486" s="505"/>
      <c r="J486" s="505"/>
      <c r="K486" s="502" t="s">
        <v>709</v>
      </c>
      <c r="L486" s="427"/>
      <c r="M486" s="427"/>
      <c r="N486" s="427"/>
      <c r="O486" s="426">
        <f t="shared" si="291"/>
        <v>0</v>
      </c>
      <c r="P486" s="605"/>
      <c r="Q486" s="606"/>
      <c r="R486" s="607"/>
      <c r="S486" s="427"/>
      <c r="T486" s="427"/>
      <c r="U486" s="608"/>
      <c r="V486" s="737">
        <v>0</v>
      </c>
      <c r="W486" s="427"/>
      <c r="X486" s="522"/>
      <c r="Y486" s="522"/>
      <c r="Z486" s="738">
        <f t="shared" si="292"/>
        <v>0</v>
      </c>
      <c r="AA486" s="739">
        <f t="shared" si="293"/>
        <v>0</v>
      </c>
    </row>
    <row r="487" spans="1:27" ht="22.5" customHeight="1" thickTop="1" thickBot="1" x14ac:dyDescent="0.3">
      <c r="A487" s="425">
        <v>1</v>
      </c>
      <c r="B487" s="505" t="s">
        <v>216</v>
      </c>
      <c r="C487" s="505" t="s">
        <v>227</v>
      </c>
      <c r="D487" s="505" t="s">
        <v>381</v>
      </c>
      <c r="E487" s="505" t="s">
        <v>231</v>
      </c>
      <c r="F487" s="505" t="s">
        <v>305</v>
      </c>
      <c r="G487" s="505" t="s">
        <v>541</v>
      </c>
      <c r="H487" s="505"/>
      <c r="I487" s="505"/>
      <c r="J487" s="505"/>
      <c r="K487" s="502" t="s">
        <v>710</v>
      </c>
      <c r="L487" s="427"/>
      <c r="M487" s="427"/>
      <c r="N487" s="427"/>
      <c r="O487" s="426">
        <f t="shared" si="291"/>
        <v>0</v>
      </c>
      <c r="P487" s="605"/>
      <c r="Q487" s="606"/>
      <c r="R487" s="607"/>
      <c r="S487" s="427"/>
      <c r="T487" s="427"/>
      <c r="U487" s="608"/>
      <c r="V487" s="737">
        <v>0</v>
      </c>
      <c r="W487" s="427"/>
      <c r="X487" s="522"/>
      <c r="Y487" s="522"/>
      <c r="Z487" s="738">
        <f t="shared" si="292"/>
        <v>0</v>
      </c>
      <c r="AA487" s="739">
        <f t="shared" si="293"/>
        <v>0</v>
      </c>
    </row>
    <row r="488" spans="1:27" ht="22.5" customHeight="1" thickTop="1" thickBot="1" x14ac:dyDescent="0.3">
      <c r="A488" s="425">
        <v>1</v>
      </c>
      <c r="B488" s="505" t="s">
        <v>216</v>
      </c>
      <c r="C488" s="505" t="s">
        <v>227</v>
      </c>
      <c r="D488" s="505" t="s">
        <v>381</v>
      </c>
      <c r="E488" s="505" t="s">
        <v>231</v>
      </c>
      <c r="F488" s="505" t="s">
        <v>305</v>
      </c>
      <c r="G488" s="505" t="s">
        <v>543</v>
      </c>
      <c r="H488" s="505"/>
      <c r="I488" s="505"/>
      <c r="J488" s="505"/>
      <c r="K488" s="502" t="s">
        <v>711</v>
      </c>
      <c r="L488" s="427"/>
      <c r="M488" s="427"/>
      <c r="N488" s="427"/>
      <c r="O488" s="426">
        <f t="shared" si="291"/>
        <v>0</v>
      </c>
      <c r="P488" s="605"/>
      <c r="Q488" s="606"/>
      <c r="R488" s="607"/>
      <c r="S488" s="427"/>
      <c r="T488" s="427"/>
      <c r="U488" s="608"/>
      <c r="V488" s="737">
        <v>0</v>
      </c>
      <c r="W488" s="427"/>
      <c r="X488" s="522"/>
      <c r="Y488" s="522"/>
      <c r="Z488" s="738">
        <f t="shared" si="292"/>
        <v>0</v>
      </c>
      <c r="AA488" s="739">
        <f t="shared" si="293"/>
        <v>0</v>
      </c>
    </row>
    <row r="489" spans="1:27" ht="22.5" customHeight="1" thickTop="1" thickBot="1" x14ac:dyDescent="0.3">
      <c r="A489" s="425">
        <v>1</v>
      </c>
      <c r="B489" s="505" t="s">
        <v>216</v>
      </c>
      <c r="C489" s="505" t="s">
        <v>227</v>
      </c>
      <c r="D489" s="505" t="s">
        <v>381</v>
      </c>
      <c r="E489" s="505" t="s">
        <v>231</v>
      </c>
      <c r="F489" s="505" t="s">
        <v>305</v>
      </c>
      <c r="G489" s="505" t="s">
        <v>545</v>
      </c>
      <c r="H489" s="505"/>
      <c r="I489" s="505"/>
      <c r="J489" s="505"/>
      <c r="K489" s="502" t="s">
        <v>712</v>
      </c>
      <c r="L489" s="427"/>
      <c r="M489" s="427"/>
      <c r="N489" s="427"/>
      <c r="O489" s="426">
        <f t="shared" si="291"/>
        <v>0</v>
      </c>
      <c r="P489" s="605"/>
      <c r="Q489" s="606"/>
      <c r="R489" s="607"/>
      <c r="S489" s="427"/>
      <c r="T489" s="427"/>
      <c r="U489" s="608"/>
      <c r="V489" s="737">
        <v>0</v>
      </c>
      <c r="W489" s="427"/>
      <c r="X489" s="522"/>
      <c r="Y489" s="522"/>
      <c r="Z489" s="738">
        <f t="shared" si="292"/>
        <v>0</v>
      </c>
      <c r="AA489" s="739">
        <f t="shared" si="293"/>
        <v>0</v>
      </c>
    </row>
    <row r="490" spans="1:27" ht="22.5" customHeight="1" thickTop="1" thickBot="1" x14ac:dyDescent="0.3">
      <c r="A490" s="425">
        <v>1</v>
      </c>
      <c r="B490" s="505" t="s">
        <v>216</v>
      </c>
      <c r="C490" s="505" t="s">
        <v>227</v>
      </c>
      <c r="D490" s="505" t="s">
        <v>381</v>
      </c>
      <c r="E490" s="505" t="s">
        <v>231</v>
      </c>
      <c r="F490" s="505" t="s">
        <v>305</v>
      </c>
      <c r="G490" s="505" t="s">
        <v>547</v>
      </c>
      <c r="H490" s="505"/>
      <c r="I490" s="505"/>
      <c r="J490" s="505"/>
      <c r="K490" s="502" t="s">
        <v>713</v>
      </c>
      <c r="L490" s="427"/>
      <c r="M490" s="427"/>
      <c r="N490" s="427"/>
      <c r="O490" s="426">
        <f t="shared" si="291"/>
        <v>0</v>
      </c>
      <c r="P490" s="605"/>
      <c r="Q490" s="606"/>
      <c r="R490" s="607"/>
      <c r="S490" s="427"/>
      <c r="T490" s="427"/>
      <c r="U490" s="608"/>
      <c r="V490" s="737">
        <v>0</v>
      </c>
      <c r="W490" s="427"/>
      <c r="X490" s="522"/>
      <c r="Y490" s="522"/>
      <c r="Z490" s="738">
        <f t="shared" si="292"/>
        <v>0</v>
      </c>
      <c r="AA490" s="739">
        <f t="shared" si="293"/>
        <v>0</v>
      </c>
    </row>
    <row r="491" spans="1:27" ht="22.5" customHeight="1" thickTop="1" thickBot="1" x14ac:dyDescent="0.3">
      <c r="A491" s="425">
        <v>1</v>
      </c>
      <c r="B491" s="505" t="s">
        <v>216</v>
      </c>
      <c r="C491" s="505" t="s">
        <v>227</v>
      </c>
      <c r="D491" s="505" t="s">
        <v>381</v>
      </c>
      <c r="E491" s="505" t="s">
        <v>231</v>
      </c>
      <c r="F491" s="505" t="s">
        <v>305</v>
      </c>
      <c r="G491" s="505" t="s">
        <v>549</v>
      </c>
      <c r="H491" s="505"/>
      <c r="I491" s="505"/>
      <c r="J491" s="505"/>
      <c r="K491" s="502" t="s">
        <v>714</v>
      </c>
      <c r="L491" s="427"/>
      <c r="M491" s="427"/>
      <c r="N491" s="427"/>
      <c r="O491" s="426">
        <f t="shared" si="291"/>
        <v>0</v>
      </c>
      <c r="P491" s="605"/>
      <c r="Q491" s="606"/>
      <c r="R491" s="607"/>
      <c r="S491" s="427"/>
      <c r="T491" s="427"/>
      <c r="U491" s="608"/>
      <c r="V491" s="737">
        <v>0</v>
      </c>
      <c r="W491" s="427"/>
      <c r="X491" s="522"/>
      <c r="Y491" s="522"/>
      <c r="Z491" s="738">
        <f t="shared" si="292"/>
        <v>0</v>
      </c>
      <c r="AA491" s="739">
        <f t="shared" si="293"/>
        <v>0</v>
      </c>
    </row>
    <row r="492" spans="1:27" ht="22.5" customHeight="1" thickTop="1" thickBot="1" x14ac:dyDescent="0.3">
      <c r="A492" s="425">
        <v>1</v>
      </c>
      <c r="B492" s="505" t="s">
        <v>216</v>
      </c>
      <c r="C492" s="505" t="s">
        <v>227</v>
      </c>
      <c r="D492" s="505" t="s">
        <v>381</v>
      </c>
      <c r="E492" s="505" t="s">
        <v>231</v>
      </c>
      <c r="F492" s="505" t="s">
        <v>305</v>
      </c>
      <c r="G492" s="505" t="s">
        <v>327</v>
      </c>
      <c r="H492" s="505"/>
      <c r="I492" s="505"/>
      <c r="J492" s="505"/>
      <c r="K492" s="502" t="s">
        <v>715</v>
      </c>
      <c r="L492" s="427"/>
      <c r="M492" s="427"/>
      <c r="N492" s="427"/>
      <c r="O492" s="426">
        <f t="shared" si="291"/>
        <v>0</v>
      </c>
      <c r="P492" s="605"/>
      <c r="Q492" s="606"/>
      <c r="R492" s="607"/>
      <c r="S492" s="427"/>
      <c r="T492" s="427"/>
      <c r="U492" s="608"/>
      <c r="V492" s="737">
        <v>0</v>
      </c>
      <c r="W492" s="427"/>
      <c r="X492" s="522"/>
      <c r="Y492" s="522"/>
      <c r="Z492" s="738">
        <f t="shared" si="292"/>
        <v>0</v>
      </c>
      <c r="AA492" s="739">
        <f t="shared" si="293"/>
        <v>0</v>
      </c>
    </row>
    <row r="493" spans="1:27" ht="22.5" customHeight="1" thickTop="1" thickBot="1" x14ac:dyDescent="0.3">
      <c r="A493" s="425">
        <v>1</v>
      </c>
      <c r="B493" s="505" t="s">
        <v>216</v>
      </c>
      <c r="C493" s="505" t="s">
        <v>227</v>
      </c>
      <c r="D493" s="505" t="s">
        <v>381</v>
      </c>
      <c r="E493" s="505" t="s">
        <v>231</v>
      </c>
      <c r="F493" s="505" t="s">
        <v>305</v>
      </c>
      <c r="G493" s="505" t="s">
        <v>552</v>
      </c>
      <c r="H493" s="505"/>
      <c r="I493" s="505"/>
      <c r="J493" s="505"/>
      <c r="K493" s="502" t="s">
        <v>716</v>
      </c>
      <c r="L493" s="427"/>
      <c r="M493" s="427"/>
      <c r="N493" s="427"/>
      <c r="O493" s="426">
        <f t="shared" si="291"/>
        <v>0</v>
      </c>
      <c r="P493" s="605"/>
      <c r="Q493" s="606"/>
      <c r="R493" s="607"/>
      <c r="S493" s="427"/>
      <c r="T493" s="427"/>
      <c r="U493" s="608"/>
      <c r="V493" s="737">
        <v>0</v>
      </c>
      <c r="W493" s="427"/>
      <c r="X493" s="522"/>
      <c r="Y493" s="522"/>
      <c r="Z493" s="738">
        <f t="shared" si="292"/>
        <v>0</v>
      </c>
      <c r="AA493" s="739">
        <f t="shared" si="293"/>
        <v>0</v>
      </c>
    </row>
    <row r="494" spans="1:27" ht="22.5" customHeight="1" thickTop="1" thickBot="1" x14ac:dyDescent="0.3">
      <c r="A494" s="425">
        <v>1</v>
      </c>
      <c r="B494" s="505" t="s">
        <v>216</v>
      </c>
      <c r="C494" s="505" t="s">
        <v>227</v>
      </c>
      <c r="D494" s="505" t="s">
        <v>381</v>
      </c>
      <c r="E494" s="505" t="s">
        <v>231</v>
      </c>
      <c r="F494" s="505" t="s">
        <v>305</v>
      </c>
      <c r="G494" s="505" t="s">
        <v>554</v>
      </c>
      <c r="H494" s="505"/>
      <c r="I494" s="505"/>
      <c r="J494" s="505"/>
      <c r="K494" s="502" t="s">
        <v>717</v>
      </c>
      <c r="L494" s="427"/>
      <c r="M494" s="427"/>
      <c r="N494" s="427"/>
      <c r="O494" s="426">
        <f t="shared" si="291"/>
        <v>0</v>
      </c>
      <c r="P494" s="605"/>
      <c r="Q494" s="606"/>
      <c r="R494" s="607"/>
      <c r="S494" s="427"/>
      <c r="T494" s="427"/>
      <c r="U494" s="608"/>
      <c r="V494" s="737">
        <v>0</v>
      </c>
      <c r="W494" s="427"/>
      <c r="X494" s="522"/>
      <c r="Y494" s="522"/>
      <c r="Z494" s="738">
        <f t="shared" si="292"/>
        <v>0</v>
      </c>
      <c r="AA494" s="739">
        <f t="shared" si="293"/>
        <v>0</v>
      </c>
    </row>
    <row r="495" spans="1:27" ht="22.5" customHeight="1" thickTop="1" thickBot="1" x14ac:dyDescent="0.3">
      <c r="A495" s="425">
        <v>1</v>
      </c>
      <c r="B495" s="505" t="s">
        <v>216</v>
      </c>
      <c r="C495" s="505" t="s">
        <v>227</v>
      </c>
      <c r="D495" s="505" t="s">
        <v>381</v>
      </c>
      <c r="E495" s="505" t="s">
        <v>231</v>
      </c>
      <c r="F495" s="505" t="s">
        <v>305</v>
      </c>
      <c r="G495" s="505" t="s">
        <v>556</v>
      </c>
      <c r="H495" s="505"/>
      <c r="I495" s="505"/>
      <c r="J495" s="505"/>
      <c r="K495" s="502" t="s">
        <v>718</v>
      </c>
      <c r="L495" s="427"/>
      <c r="M495" s="427"/>
      <c r="N495" s="427"/>
      <c r="O495" s="426">
        <f t="shared" si="291"/>
        <v>0</v>
      </c>
      <c r="P495" s="605"/>
      <c r="Q495" s="606"/>
      <c r="R495" s="607"/>
      <c r="S495" s="427"/>
      <c r="T495" s="427"/>
      <c r="U495" s="608"/>
      <c r="V495" s="737">
        <v>0</v>
      </c>
      <c r="W495" s="427"/>
      <c r="X495" s="522"/>
      <c r="Y495" s="522"/>
      <c r="Z495" s="738">
        <f t="shared" si="292"/>
        <v>0</v>
      </c>
      <c r="AA495" s="739">
        <f t="shared" si="293"/>
        <v>0</v>
      </c>
    </row>
    <row r="496" spans="1:27" ht="22.5" customHeight="1" thickTop="1" thickBot="1" x14ac:dyDescent="0.3">
      <c r="A496" s="425">
        <v>1</v>
      </c>
      <c r="B496" s="505" t="s">
        <v>216</v>
      </c>
      <c r="C496" s="505" t="s">
        <v>227</v>
      </c>
      <c r="D496" s="505" t="s">
        <v>381</v>
      </c>
      <c r="E496" s="505" t="s">
        <v>231</v>
      </c>
      <c r="F496" s="505" t="s">
        <v>305</v>
      </c>
      <c r="G496" s="505" t="s">
        <v>558</v>
      </c>
      <c r="H496" s="505"/>
      <c r="I496" s="505"/>
      <c r="J496" s="505"/>
      <c r="K496" s="502" t="s">
        <v>719</v>
      </c>
      <c r="L496" s="427"/>
      <c r="M496" s="427"/>
      <c r="N496" s="427"/>
      <c r="O496" s="426">
        <f t="shared" si="291"/>
        <v>0</v>
      </c>
      <c r="P496" s="605"/>
      <c r="Q496" s="606"/>
      <c r="R496" s="607"/>
      <c r="S496" s="427"/>
      <c r="T496" s="427"/>
      <c r="U496" s="608"/>
      <c r="V496" s="737">
        <v>0</v>
      </c>
      <c r="W496" s="427"/>
      <c r="X496" s="522"/>
      <c r="Y496" s="522"/>
      <c r="Z496" s="738">
        <f t="shared" si="292"/>
        <v>0</v>
      </c>
      <c r="AA496" s="739">
        <f t="shared" si="293"/>
        <v>0</v>
      </c>
    </row>
    <row r="497" spans="1:191" ht="22.5" customHeight="1" thickTop="1" thickBot="1" x14ac:dyDescent="0.3">
      <c r="A497" s="425">
        <v>1</v>
      </c>
      <c r="B497" s="505" t="s">
        <v>216</v>
      </c>
      <c r="C497" s="505" t="s">
        <v>227</v>
      </c>
      <c r="D497" s="505" t="s">
        <v>381</v>
      </c>
      <c r="E497" s="505" t="s">
        <v>231</v>
      </c>
      <c r="F497" s="505" t="s">
        <v>305</v>
      </c>
      <c r="G497" s="505" t="s">
        <v>560</v>
      </c>
      <c r="H497" s="505"/>
      <c r="I497" s="505"/>
      <c r="J497" s="505"/>
      <c r="K497" s="502" t="s">
        <v>720</v>
      </c>
      <c r="L497" s="427"/>
      <c r="M497" s="427"/>
      <c r="N497" s="427"/>
      <c r="O497" s="426">
        <f t="shared" si="291"/>
        <v>0</v>
      </c>
      <c r="P497" s="605"/>
      <c r="Q497" s="606"/>
      <c r="R497" s="607"/>
      <c r="S497" s="427"/>
      <c r="T497" s="427"/>
      <c r="U497" s="608"/>
      <c r="V497" s="737">
        <v>0</v>
      </c>
      <c r="W497" s="427"/>
      <c r="X497" s="522"/>
      <c r="Y497" s="522"/>
      <c r="Z497" s="738">
        <f t="shared" si="292"/>
        <v>0</v>
      </c>
      <c r="AA497" s="739">
        <f t="shared" si="293"/>
        <v>0</v>
      </c>
    </row>
    <row r="498" spans="1:191" ht="22.5" customHeight="1" thickTop="1" thickBot="1" x14ac:dyDescent="0.3">
      <c r="A498" s="425">
        <v>1</v>
      </c>
      <c r="B498" s="505" t="s">
        <v>216</v>
      </c>
      <c r="C498" s="505" t="s">
        <v>227</v>
      </c>
      <c r="D498" s="505" t="s">
        <v>381</v>
      </c>
      <c r="E498" s="505" t="s">
        <v>231</v>
      </c>
      <c r="F498" s="505" t="s">
        <v>305</v>
      </c>
      <c r="G498" s="505" t="s">
        <v>562</v>
      </c>
      <c r="H498" s="505"/>
      <c r="I498" s="505"/>
      <c r="J498" s="505"/>
      <c r="K498" s="502" t="s">
        <v>721</v>
      </c>
      <c r="L498" s="427"/>
      <c r="M498" s="427"/>
      <c r="N498" s="427"/>
      <c r="O498" s="426">
        <f t="shared" si="291"/>
        <v>0</v>
      </c>
      <c r="P498" s="605"/>
      <c r="Q498" s="606"/>
      <c r="R498" s="607"/>
      <c r="S498" s="427"/>
      <c r="T498" s="427"/>
      <c r="U498" s="608"/>
      <c r="V498" s="737">
        <v>0</v>
      </c>
      <c r="W498" s="427"/>
      <c r="X498" s="522"/>
      <c r="Y498" s="522"/>
      <c r="Z498" s="738">
        <f t="shared" si="292"/>
        <v>0</v>
      </c>
      <c r="AA498" s="739">
        <f t="shared" si="293"/>
        <v>0</v>
      </c>
    </row>
    <row r="499" spans="1:191" ht="22.5" customHeight="1" thickTop="1" thickBot="1" x14ac:dyDescent="0.3">
      <c r="A499" s="425">
        <v>1</v>
      </c>
      <c r="B499" s="505" t="s">
        <v>216</v>
      </c>
      <c r="C499" s="505" t="s">
        <v>227</v>
      </c>
      <c r="D499" s="505" t="s">
        <v>381</v>
      </c>
      <c r="E499" s="505" t="s">
        <v>231</v>
      </c>
      <c r="F499" s="505" t="s">
        <v>305</v>
      </c>
      <c r="G499" s="505" t="s">
        <v>564</v>
      </c>
      <c r="H499" s="505"/>
      <c r="I499" s="505"/>
      <c r="J499" s="505"/>
      <c r="K499" s="502" t="s">
        <v>722</v>
      </c>
      <c r="L499" s="427"/>
      <c r="M499" s="427"/>
      <c r="N499" s="427"/>
      <c r="O499" s="426">
        <f t="shared" si="291"/>
        <v>0</v>
      </c>
      <c r="P499" s="605"/>
      <c r="Q499" s="606"/>
      <c r="R499" s="607"/>
      <c r="S499" s="427"/>
      <c r="T499" s="427"/>
      <c r="U499" s="608"/>
      <c r="V499" s="737">
        <v>0</v>
      </c>
      <c r="W499" s="427"/>
      <c r="X499" s="522"/>
      <c r="Y499" s="522"/>
      <c r="Z499" s="738">
        <f t="shared" si="292"/>
        <v>0</v>
      </c>
      <c r="AA499" s="739">
        <f t="shared" si="293"/>
        <v>0</v>
      </c>
    </row>
    <row r="500" spans="1:191" ht="22.5" customHeight="1" thickTop="1" thickBot="1" x14ac:dyDescent="0.3">
      <c r="A500" s="425">
        <v>1</v>
      </c>
      <c r="B500" s="505" t="s">
        <v>216</v>
      </c>
      <c r="C500" s="505" t="s">
        <v>227</v>
      </c>
      <c r="D500" s="505" t="s">
        <v>381</v>
      </c>
      <c r="E500" s="505" t="s">
        <v>231</v>
      </c>
      <c r="F500" s="505" t="s">
        <v>305</v>
      </c>
      <c r="G500" s="505" t="s">
        <v>566</v>
      </c>
      <c r="H500" s="505"/>
      <c r="I500" s="505"/>
      <c r="J500" s="505"/>
      <c r="K500" s="502" t="s">
        <v>723</v>
      </c>
      <c r="L500" s="427"/>
      <c r="M500" s="427"/>
      <c r="N500" s="427"/>
      <c r="O500" s="426">
        <f t="shared" si="291"/>
        <v>0</v>
      </c>
      <c r="P500" s="605"/>
      <c r="Q500" s="606"/>
      <c r="R500" s="607"/>
      <c r="S500" s="427"/>
      <c r="T500" s="427"/>
      <c r="U500" s="608"/>
      <c r="V500" s="737">
        <v>0</v>
      </c>
      <c r="W500" s="427"/>
      <c r="X500" s="522"/>
      <c r="Y500" s="522"/>
      <c r="Z500" s="738">
        <f t="shared" si="292"/>
        <v>0</v>
      </c>
      <c r="AA500" s="739">
        <f t="shared" si="293"/>
        <v>0</v>
      </c>
    </row>
    <row r="501" spans="1:191" ht="22.5" customHeight="1" thickTop="1" thickBot="1" x14ac:dyDescent="0.3">
      <c r="A501" s="425">
        <v>1</v>
      </c>
      <c r="B501" s="505" t="s">
        <v>216</v>
      </c>
      <c r="C501" s="505" t="s">
        <v>227</v>
      </c>
      <c r="D501" s="505" t="s">
        <v>381</v>
      </c>
      <c r="E501" s="505" t="s">
        <v>231</v>
      </c>
      <c r="F501" s="505" t="s">
        <v>305</v>
      </c>
      <c r="G501" s="505" t="s">
        <v>657</v>
      </c>
      <c r="H501" s="505"/>
      <c r="I501" s="505"/>
      <c r="J501" s="505"/>
      <c r="K501" s="502" t="s">
        <v>724</v>
      </c>
      <c r="L501" s="427"/>
      <c r="M501" s="427"/>
      <c r="N501" s="427"/>
      <c r="O501" s="426">
        <f t="shared" si="291"/>
        <v>0</v>
      </c>
      <c r="P501" s="605"/>
      <c r="Q501" s="606"/>
      <c r="R501" s="607"/>
      <c r="S501" s="427"/>
      <c r="T501" s="427"/>
      <c r="U501" s="608"/>
      <c r="V501" s="737">
        <v>0</v>
      </c>
      <c r="W501" s="427"/>
      <c r="X501" s="522"/>
      <c r="Y501" s="522"/>
      <c r="Z501" s="738">
        <f t="shared" si="292"/>
        <v>0</v>
      </c>
      <c r="AA501" s="739">
        <f t="shared" si="293"/>
        <v>0</v>
      </c>
    </row>
    <row r="502" spans="1:191" ht="22.5" customHeight="1" thickTop="1" thickBot="1" x14ac:dyDescent="0.3">
      <c r="A502" s="425">
        <v>1</v>
      </c>
      <c r="B502" s="505" t="s">
        <v>216</v>
      </c>
      <c r="C502" s="505" t="s">
        <v>227</v>
      </c>
      <c r="D502" s="505" t="s">
        <v>322</v>
      </c>
      <c r="E502" s="505"/>
      <c r="F502" s="505"/>
      <c r="G502" s="505"/>
      <c r="H502" s="505"/>
      <c r="I502" s="505"/>
      <c r="J502" s="505"/>
      <c r="K502" s="502" t="s">
        <v>725</v>
      </c>
      <c r="L502" s="427">
        <f>+L503+L504</f>
        <v>0</v>
      </c>
      <c r="M502" s="427">
        <f t="shared" ref="M502:T502" si="294">+M503+M504</f>
        <v>0</v>
      </c>
      <c r="N502" s="427">
        <f t="shared" si="294"/>
        <v>0</v>
      </c>
      <c r="O502" s="426">
        <v>0</v>
      </c>
      <c r="P502" s="602">
        <v>0</v>
      </c>
      <c r="Q502" s="603">
        <v>0</v>
      </c>
      <c r="R502" s="604">
        <v>0</v>
      </c>
      <c r="S502" s="426">
        <f t="shared" si="294"/>
        <v>0</v>
      </c>
      <c r="T502" s="426">
        <f t="shared" si="294"/>
        <v>0</v>
      </c>
      <c r="U502" s="601">
        <v>0</v>
      </c>
      <c r="V502" s="737">
        <v>0</v>
      </c>
      <c r="W502" s="427"/>
      <c r="X502" s="522"/>
      <c r="Y502" s="522"/>
      <c r="Z502" s="738">
        <f t="shared" si="292"/>
        <v>0</v>
      </c>
      <c r="AA502" s="739">
        <f t="shared" si="293"/>
        <v>0</v>
      </c>
    </row>
    <row r="503" spans="1:191" ht="22.5" customHeight="1" thickTop="1" thickBot="1" x14ac:dyDescent="0.3">
      <c r="A503" s="425">
        <v>1</v>
      </c>
      <c r="B503" s="505" t="s">
        <v>216</v>
      </c>
      <c r="C503" s="505" t="s">
        <v>227</v>
      </c>
      <c r="D503" s="505" t="s">
        <v>322</v>
      </c>
      <c r="E503" s="505" t="s">
        <v>220</v>
      </c>
      <c r="F503" s="505"/>
      <c r="G503" s="505"/>
      <c r="H503" s="505"/>
      <c r="I503" s="505"/>
      <c r="J503" s="505"/>
      <c r="K503" s="502" t="s">
        <v>726</v>
      </c>
      <c r="L503" s="427"/>
      <c r="M503" s="427"/>
      <c r="N503" s="427"/>
      <c r="O503" s="426">
        <f>+L503+M503-N503</f>
        <v>0</v>
      </c>
      <c r="P503" s="605"/>
      <c r="Q503" s="606"/>
      <c r="R503" s="607"/>
      <c r="S503" s="427"/>
      <c r="T503" s="427"/>
      <c r="U503" s="608"/>
      <c r="V503" s="737">
        <v>0</v>
      </c>
      <c r="W503" s="427"/>
      <c r="X503" s="522"/>
      <c r="Y503" s="522"/>
      <c r="Z503" s="738">
        <f t="shared" si="292"/>
        <v>0</v>
      </c>
      <c r="AA503" s="739">
        <f t="shared" si="293"/>
        <v>0</v>
      </c>
    </row>
    <row r="504" spans="1:191" ht="22.5" customHeight="1" thickTop="1" thickBot="1" x14ac:dyDescent="0.3">
      <c r="A504" s="425">
        <v>1</v>
      </c>
      <c r="B504" s="505" t="s">
        <v>216</v>
      </c>
      <c r="C504" s="505" t="s">
        <v>227</v>
      </c>
      <c r="D504" s="505" t="s">
        <v>322</v>
      </c>
      <c r="E504" s="505" t="s">
        <v>231</v>
      </c>
      <c r="F504" s="505"/>
      <c r="G504" s="505"/>
      <c r="H504" s="505"/>
      <c r="I504" s="505"/>
      <c r="J504" s="505"/>
      <c r="K504" s="502" t="s">
        <v>727</v>
      </c>
      <c r="L504" s="742"/>
      <c r="M504" s="427"/>
      <c r="N504" s="427"/>
      <c r="O504" s="426">
        <v>0</v>
      </c>
      <c r="P504" s="605"/>
      <c r="Q504" s="606"/>
      <c r="R504" s="607"/>
      <c r="S504" s="427"/>
      <c r="T504" s="427"/>
      <c r="U504" s="608" t="s">
        <v>849</v>
      </c>
      <c r="V504" s="737">
        <v>0</v>
      </c>
      <c r="W504" s="427"/>
      <c r="X504" s="522"/>
      <c r="Y504" s="522"/>
      <c r="Z504" s="738">
        <f t="shared" si="292"/>
        <v>0</v>
      </c>
      <c r="AA504" s="739">
        <f t="shared" si="293"/>
        <v>0</v>
      </c>
    </row>
    <row r="505" spans="1:191" ht="31.5" customHeight="1" thickTop="1" thickBot="1" x14ac:dyDescent="0.3">
      <c r="A505" s="425">
        <v>1</v>
      </c>
      <c r="B505" s="425">
        <v>2</v>
      </c>
      <c r="C505" s="505"/>
      <c r="D505" s="505"/>
      <c r="E505" s="505"/>
      <c r="F505" s="505"/>
      <c r="G505" s="505"/>
      <c r="H505" s="505"/>
      <c r="I505" s="505"/>
      <c r="J505" s="505"/>
      <c r="K505" s="419" t="s">
        <v>728</v>
      </c>
      <c r="L505" s="426">
        <f>+L506+L510</f>
        <v>2441226240</v>
      </c>
      <c r="M505" s="427">
        <f t="shared" ref="M505:T505" si="295">+M506+M510</f>
        <v>0</v>
      </c>
      <c r="N505" s="427">
        <f t="shared" si="295"/>
        <v>0</v>
      </c>
      <c r="O505" s="673">
        <f t="shared" si="295"/>
        <v>2441226240</v>
      </c>
      <c r="P505" s="735">
        <f t="shared" si="295"/>
        <v>2441226240</v>
      </c>
      <c r="Q505" s="736">
        <f t="shared" si="295"/>
        <v>0</v>
      </c>
      <c r="R505" s="736">
        <f t="shared" si="295"/>
        <v>0</v>
      </c>
      <c r="S505" s="736">
        <f t="shared" si="295"/>
        <v>0</v>
      </c>
      <c r="T505" s="736">
        <f t="shared" si="295"/>
        <v>0</v>
      </c>
      <c r="U505" s="735">
        <f>+U506</f>
        <v>2423039209</v>
      </c>
      <c r="V505" s="737">
        <f t="shared" ref="V505:V509" si="296">+U505/O505</f>
        <v>0.99255004280144066</v>
      </c>
      <c r="W505" s="427"/>
      <c r="X505" s="522"/>
      <c r="Y505" s="522"/>
      <c r="Z505" s="738">
        <f t="shared" si="292"/>
        <v>2441226240</v>
      </c>
      <c r="AA505" s="739">
        <f t="shared" si="293"/>
        <v>0</v>
      </c>
    </row>
    <row r="506" spans="1:191" ht="34.5" customHeight="1" thickTop="1" thickBot="1" x14ac:dyDescent="0.3">
      <c r="A506" s="425">
        <v>1</v>
      </c>
      <c r="B506" s="425">
        <v>2</v>
      </c>
      <c r="C506" s="505" t="s">
        <v>216</v>
      </c>
      <c r="D506" s="505"/>
      <c r="E506" s="505"/>
      <c r="F506" s="505"/>
      <c r="G506" s="505"/>
      <c r="H506" s="505"/>
      <c r="I506" s="505"/>
      <c r="J506" s="505"/>
      <c r="K506" s="501" t="s">
        <v>729</v>
      </c>
      <c r="L506" s="426">
        <f>SUM(L507:L509)</f>
        <v>2441226240</v>
      </c>
      <c r="M506" s="426">
        <f t="shared" ref="M506:T506" si="297">SUM(M507:M509)</f>
        <v>0</v>
      </c>
      <c r="N506" s="426">
        <f t="shared" si="297"/>
        <v>0</v>
      </c>
      <c r="O506" s="426">
        <f>SUM(O507:O509)</f>
        <v>2441226240</v>
      </c>
      <c r="P506" s="602">
        <f t="shared" si="297"/>
        <v>2441226240</v>
      </c>
      <c r="Q506" s="606">
        <f t="shared" si="297"/>
        <v>0</v>
      </c>
      <c r="R506" s="607">
        <f t="shared" si="297"/>
        <v>0</v>
      </c>
      <c r="S506" s="427">
        <f t="shared" si="297"/>
        <v>0</v>
      </c>
      <c r="T506" s="427">
        <f t="shared" si="297"/>
        <v>0</v>
      </c>
      <c r="U506" s="601">
        <f>+U507+U508+U509</f>
        <v>2423039209</v>
      </c>
      <c r="V506" s="737">
        <f t="shared" si="296"/>
        <v>0.99255004280144066</v>
      </c>
      <c r="W506" s="427"/>
      <c r="X506" s="522"/>
      <c r="Y506" s="522"/>
      <c r="Z506" s="738">
        <f t="shared" si="292"/>
        <v>2441226240</v>
      </c>
      <c r="AA506" s="739">
        <f t="shared" si="293"/>
        <v>0</v>
      </c>
    </row>
    <row r="507" spans="1:191" ht="22.5" customHeight="1" thickTop="1" thickBot="1" x14ac:dyDescent="0.3">
      <c r="A507" s="425">
        <v>1</v>
      </c>
      <c r="B507" s="425">
        <v>2</v>
      </c>
      <c r="C507" s="505" t="s">
        <v>216</v>
      </c>
      <c r="D507" s="505" t="s">
        <v>220</v>
      </c>
      <c r="E507" s="505"/>
      <c r="F507" s="505"/>
      <c r="G507" s="731"/>
      <c r="H507" s="731"/>
      <c r="I507" s="731"/>
      <c r="J507" s="731"/>
      <c r="K507" s="732" t="s">
        <v>730</v>
      </c>
      <c r="L507" s="727">
        <v>2368563840</v>
      </c>
      <c r="M507" s="728"/>
      <c r="N507" s="728"/>
      <c r="O507" s="673">
        <v>2374307240</v>
      </c>
      <c r="P507" s="727">
        <v>2374307240</v>
      </c>
      <c r="Q507" s="727"/>
      <c r="R507" s="727"/>
      <c r="S507" s="727"/>
      <c r="T507" s="727"/>
      <c r="U507" s="727">
        <v>2423039209</v>
      </c>
      <c r="V507" s="737">
        <f t="shared" si="296"/>
        <v>1.020524710609904</v>
      </c>
      <c r="W507" s="728"/>
      <c r="X507" s="733"/>
      <c r="Y507" s="733"/>
      <c r="Z507" s="738">
        <f t="shared" si="292"/>
        <v>2374307240</v>
      </c>
      <c r="AA507" s="739">
        <f t="shared" si="293"/>
        <v>0</v>
      </c>
      <c r="AB507" s="734"/>
      <c r="AC507" s="734"/>
      <c r="AD507" s="734"/>
      <c r="AE507" s="734"/>
      <c r="AF507" s="734"/>
      <c r="AG507" s="734"/>
      <c r="AH507" s="734"/>
      <c r="AI507" s="734"/>
      <c r="AJ507" s="734"/>
      <c r="AK507" s="734"/>
      <c r="AL507" s="734"/>
      <c r="AM507" s="734"/>
      <c r="AN507" s="734"/>
      <c r="AO507" s="734"/>
      <c r="AP507" s="734"/>
      <c r="AQ507" s="734"/>
      <c r="AR507" s="734"/>
      <c r="AS507" s="734"/>
      <c r="AT507" s="734"/>
      <c r="AU507" s="734"/>
      <c r="AV507" s="734"/>
      <c r="AW507" s="734"/>
      <c r="AX507" s="734"/>
      <c r="AY507" s="734"/>
      <c r="AZ507" s="734"/>
      <c r="BA507" s="734"/>
      <c r="BB507" s="734"/>
      <c r="BC507" s="734"/>
      <c r="BD507" s="734"/>
      <c r="BE507" s="734"/>
      <c r="BF507" s="734"/>
      <c r="BG507" s="734"/>
      <c r="BH507" s="734"/>
      <c r="BI507" s="734"/>
      <c r="BJ507" s="734"/>
      <c r="BK507" s="734"/>
      <c r="BL507" s="734"/>
      <c r="BM507" s="734"/>
      <c r="BN507" s="734"/>
      <c r="BO507" s="734"/>
      <c r="BP507" s="734"/>
      <c r="BQ507" s="734"/>
      <c r="BR507" s="734"/>
      <c r="BS507" s="734"/>
      <c r="BT507" s="734"/>
      <c r="BU507" s="734"/>
      <c r="BV507" s="734"/>
      <c r="BW507" s="734"/>
      <c r="BX507" s="734"/>
      <c r="BY507" s="734"/>
      <c r="BZ507" s="734"/>
      <c r="CA507" s="734"/>
      <c r="CB507" s="734"/>
      <c r="CC507" s="734"/>
      <c r="CD507" s="734"/>
      <c r="CE507" s="734"/>
      <c r="CF507" s="734"/>
      <c r="CG507" s="734"/>
      <c r="CH507" s="734"/>
      <c r="CI507" s="734"/>
      <c r="CJ507" s="734"/>
      <c r="CK507" s="734"/>
      <c r="CL507" s="734"/>
      <c r="CM507" s="734"/>
      <c r="CN507" s="734"/>
      <c r="CO507" s="734"/>
      <c r="CP507" s="734"/>
      <c r="CQ507" s="734"/>
      <c r="CR507" s="734"/>
      <c r="CS507" s="734"/>
      <c r="CT507" s="734"/>
      <c r="CU507" s="734"/>
      <c r="CV507" s="734"/>
      <c r="CW507" s="734"/>
      <c r="CX507" s="734"/>
      <c r="CY507" s="734"/>
      <c r="CZ507" s="734"/>
      <c r="DA507" s="734"/>
      <c r="DB507" s="734"/>
      <c r="DC507" s="734"/>
      <c r="DD507" s="734"/>
      <c r="DE507" s="734"/>
      <c r="DF507" s="734"/>
      <c r="DG507" s="734"/>
      <c r="DH507" s="734"/>
      <c r="DI507" s="734"/>
      <c r="DJ507" s="734"/>
      <c r="DK507" s="734"/>
      <c r="DL507" s="734"/>
      <c r="DM507" s="734"/>
      <c r="DN507" s="734"/>
      <c r="DO507" s="734"/>
      <c r="DP507" s="734"/>
      <c r="DQ507" s="734"/>
      <c r="DR507" s="734"/>
      <c r="DS507" s="734"/>
      <c r="DT507" s="734"/>
      <c r="DU507" s="734"/>
      <c r="DV507" s="734"/>
      <c r="DW507" s="734"/>
      <c r="DX507" s="734"/>
      <c r="DY507" s="734"/>
      <c r="DZ507" s="734"/>
      <c r="EA507" s="734"/>
      <c r="EB507" s="734"/>
      <c r="EC507" s="734"/>
      <c r="ED507" s="734"/>
      <c r="EE507" s="734"/>
      <c r="EF507" s="734"/>
      <c r="EG507" s="734"/>
      <c r="EH507" s="734"/>
      <c r="EI507" s="734"/>
      <c r="EJ507" s="734"/>
      <c r="EK507" s="734"/>
      <c r="EL507" s="734"/>
      <c r="EM507" s="734"/>
      <c r="EN507" s="734"/>
      <c r="EO507" s="734"/>
      <c r="EP507" s="734"/>
      <c r="EQ507" s="734"/>
      <c r="ER507" s="734"/>
      <c r="ES507" s="734"/>
      <c r="ET507" s="734"/>
      <c r="EU507" s="734"/>
      <c r="EV507" s="734"/>
      <c r="EW507" s="734"/>
      <c r="EX507" s="734"/>
      <c r="EY507" s="734"/>
      <c r="EZ507" s="734"/>
      <c r="FA507" s="734"/>
      <c r="FB507" s="734"/>
      <c r="FC507" s="734"/>
      <c r="FD507" s="734"/>
      <c r="FE507" s="734"/>
      <c r="FF507" s="734"/>
      <c r="FG507" s="734"/>
      <c r="FH507" s="734"/>
      <c r="FI507" s="734"/>
      <c r="FJ507" s="734"/>
      <c r="FK507" s="734"/>
      <c r="FL507" s="734"/>
      <c r="FM507" s="734"/>
      <c r="FN507" s="734"/>
      <c r="FO507" s="734"/>
      <c r="FP507" s="734"/>
      <c r="FQ507" s="734"/>
      <c r="FR507" s="734"/>
      <c r="FS507" s="734"/>
      <c r="FT507" s="734"/>
      <c r="FU507" s="734"/>
      <c r="FV507" s="734"/>
      <c r="FW507" s="734"/>
      <c r="FX507" s="734"/>
      <c r="FY507" s="734"/>
      <c r="FZ507" s="734"/>
      <c r="GA507" s="734"/>
      <c r="GB507" s="734"/>
      <c r="GC507" s="734"/>
      <c r="GD507" s="734"/>
      <c r="GE507" s="734"/>
      <c r="GF507" s="734"/>
      <c r="GG507" s="734"/>
      <c r="GH507" s="734"/>
      <c r="GI507" s="734"/>
    </row>
    <row r="508" spans="1:191" ht="22.5" customHeight="1" thickTop="1" thickBot="1" x14ac:dyDescent="0.3">
      <c r="A508" s="425">
        <v>1</v>
      </c>
      <c r="B508" s="425">
        <v>2</v>
      </c>
      <c r="C508" s="505" t="s">
        <v>216</v>
      </c>
      <c r="D508" s="505" t="s">
        <v>231</v>
      </c>
      <c r="E508" s="505"/>
      <c r="F508" s="505"/>
      <c r="G508" s="505"/>
      <c r="H508" s="505"/>
      <c r="I508" s="505"/>
      <c r="J508" s="505"/>
      <c r="K508" s="502" t="s">
        <v>731</v>
      </c>
      <c r="L508" s="427">
        <v>49100000</v>
      </c>
      <c r="M508" s="427"/>
      <c r="N508" s="427"/>
      <c r="O508" s="744">
        <f>+L508+M508-N508</f>
        <v>49100000</v>
      </c>
      <c r="P508" s="605">
        <v>49100000</v>
      </c>
      <c r="Q508" s="606"/>
      <c r="R508" s="607"/>
      <c r="S508" s="427"/>
      <c r="T508" s="427"/>
      <c r="U508" s="608">
        <v>0</v>
      </c>
      <c r="V508" s="737">
        <f t="shared" si="296"/>
        <v>0</v>
      </c>
      <c r="W508" s="427"/>
      <c r="X508" s="522"/>
      <c r="Y508" s="522"/>
      <c r="Z508" s="738">
        <f t="shared" si="292"/>
        <v>49100000</v>
      </c>
      <c r="AA508" s="739">
        <f t="shared" si="293"/>
        <v>0</v>
      </c>
    </row>
    <row r="509" spans="1:191" ht="22.5" customHeight="1" thickTop="1" thickBot="1" x14ac:dyDescent="0.3">
      <c r="A509" s="425">
        <v>1</v>
      </c>
      <c r="B509" s="425">
        <v>2</v>
      </c>
      <c r="C509" s="505" t="s">
        <v>216</v>
      </c>
      <c r="D509" s="505" t="s">
        <v>305</v>
      </c>
      <c r="E509" s="505"/>
      <c r="F509" s="505"/>
      <c r="G509" s="505"/>
      <c r="H509" s="505"/>
      <c r="I509" s="505"/>
      <c r="J509" s="505"/>
      <c r="K509" s="502" t="s">
        <v>732</v>
      </c>
      <c r="L509" s="427">
        <v>23562400</v>
      </c>
      <c r="M509" s="427"/>
      <c r="N509" s="427"/>
      <c r="O509" s="744">
        <v>17819000</v>
      </c>
      <c r="P509" s="605">
        <v>17819000</v>
      </c>
      <c r="Q509" s="606"/>
      <c r="R509" s="607"/>
      <c r="S509" s="427"/>
      <c r="T509" s="427"/>
      <c r="U509" s="608">
        <v>0</v>
      </c>
      <c r="V509" s="737">
        <f t="shared" si="296"/>
        <v>0</v>
      </c>
      <c r="W509" s="427"/>
      <c r="X509" s="522"/>
      <c r="Y509" s="522"/>
      <c r="Z509" s="738">
        <f t="shared" si="292"/>
        <v>17819000</v>
      </c>
      <c r="AA509" s="739">
        <f t="shared" si="293"/>
        <v>0</v>
      </c>
    </row>
    <row r="510" spans="1:191" ht="22.5" customHeight="1" thickTop="1" thickBot="1" x14ac:dyDescent="0.3">
      <c r="A510" s="425">
        <v>1</v>
      </c>
      <c r="B510" s="425">
        <v>2</v>
      </c>
      <c r="C510" s="505" t="s">
        <v>227</v>
      </c>
      <c r="D510" s="505"/>
      <c r="E510" s="505"/>
      <c r="F510" s="505"/>
      <c r="G510" s="505"/>
      <c r="H510" s="505"/>
      <c r="I510" s="505"/>
      <c r="J510" s="505"/>
      <c r="K510" s="501" t="s">
        <v>733</v>
      </c>
      <c r="L510" s="427"/>
      <c r="M510" s="427"/>
      <c r="N510" s="427"/>
      <c r="O510" s="426">
        <f>+L510+M510-N510</f>
        <v>0</v>
      </c>
      <c r="P510" s="605"/>
      <c r="Q510" s="606"/>
      <c r="R510" s="607"/>
      <c r="S510" s="427"/>
      <c r="T510" s="427"/>
      <c r="U510" s="608"/>
      <c r="V510" s="737">
        <v>0</v>
      </c>
      <c r="W510" s="427"/>
      <c r="X510" s="522"/>
      <c r="Y510" s="522"/>
      <c r="Z510" s="738">
        <f t="shared" si="292"/>
        <v>0</v>
      </c>
      <c r="AA510" s="739">
        <f t="shared" si="293"/>
        <v>0</v>
      </c>
    </row>
    <row r="511" spans="1:191" ht="27" customHeight="1" thickTop="1" thickBot="1" x14ac:dyDescent="0.3">
      <c r="A511" s="425">
        <v>1</v>
      </c>
      <c r="B511" s="425">
        <v>3</v>
      </c>
      <c r="C511" s="505"/>
      <c r="D511" s="505"/>
      <c r="E511" s="505"/>
      <c r="F511" s="505"/>
      <c r="G511" s="505"/>
      <c r="H511" s="505"/>
      <c r="I511" s="505"/>
      <c r="J511" s="505"/>
      <c r="K511" s="509" t="s">
        <v>734</v>
      </c>
      <c r="L511" s="427">
        <f>+L512+L516</f>
        <v>0</v>
      </c>
      <c r="M511" s="427">
        <f t="shared" ref="M511:U511" si="298">+M512+M516</f>
        <v>0</v>
      </c>
      <c r="N511" s="427">
        <f t="shared" si="298"/>
        <v>0</v>
      </c>
      <c r="O511" s="427">
        <f t="shared" si="298"/>
        <v>0</v>
      </c>
      <c r="P511" s="605">
        <f t="shared" si="298"/>
        <v>0</v>
      </c>
      <c r="Q511" s="606">
        <f t="shared" si="298"/>
        <v>0</v>
      </c>
      <c r="R511" s="607">
        <f t="shared" si="298"/>
        <v>0</v>
      </c>
      <c r="S511" s="427">
        <f t="shared" si="298"/>
        <v>0</v>
      </c>
      <c r="T511" s="427">
        <f t="shared" si="298"/>
        <v>0</v>
      </c>
      <c r="U511" s="608">
        <f t="shared" si="298"/>
        <v>0</v>
      </c>
      <c r="V511" s="737">
        <v>0</v>
      </c>
      <c r="W511" s="427"/>
      <c r="X511" s="522"/>
      <c r="Y511" s="522"/>
      <c r="Z511" s="738">
        <f t="shared" si="292"/>
        <v>0</v>
      </c>
      <c r="AA511" s="739">
        <f t="shared" si="293"/>
        <v>0</v>
      </c>
    </row>
    <row r="512" spans="1:191" ht="30.75" customHeight="1" thickTop="1" thickBot="1" x14ac:dyDescent="0.3">
      <c r="A512" s="425">
        <v>1</v>
      </c>
      <c r="B512" s="425">
        <v>3</v>
      </c>
      <c r="C512" s="505" t="s">
        <v>216</v>
      </c>
      <c r="D512" s="505"/>
      <c r="E512" s="505"/>
      <c r="F512" s="505"/>
      <c r="G512" s="505"/>
      <c r="H512" s="505"/>
      <c r="I512" s="505"/>
      <c r="J512" s="505"/>
      <c r="K512" s="501" t="s">
        <v>735</v>
      </c>
      <c r="L512" s="427">
        <f>SUM(L513:L515)</f>
        <v>0</v>
      </c>
      <c r="M512" s="427">
        <f t="shared" ref="M512:U512" si="299">SUM(M513:M515)</f>
        <v>0</v>
      </c>
      <c r="N512" s="427">
        <f t="shared" si="299"/>
        <v>0</v>
      </c>
      <c r="O512" s="427">
        <f t="shared" si="299"/>
        <v>0</v>
      </c>
      <c r="P512" s="605">
        <f t="shared" si="299"/>
        <v>0</v>
      </c>
      <c r="Q512" s="606">
        <f t="shared" si="299"/>
        <v>0</v>
      </c>
      <c r="R512" s="607">
        <f t="shared" si="299"/>
        <v>0</v>
      </c>
      <c r="S512" s="427">
        <f t="shared" si="299"/>
        <v>0</v>
      </c>
      <c r="T512" s="427">
        <f t="shared" si="299"/>
        <v>0</v>
      </c>
      <c r="U512" s="608">
        <f t="shared" si="299"/>
        <v>0</v>
      </c>
      <c r="V512" s="737">
        <v>0</v>
      </c>
      <c r="W512" s="427"/>
      <c r="X512" s="522"/>
      <c r="Y512" s="522"/>
      <c r="Z512" s="738">
        <f t="shared" si="292"/>
        <v>0</v>
      </c>
      <c r="AA512" s="739">
        <f t="shared" si="293"/>
        <v>0</v>
      </c>
    </row>
    <row r="513" spans="1:27" ht="22.5" customHeight="1" thickTop="1" thickBot="1" x14ac:dyDescent="0.3">
      <c r="A513" s="425">
        <v>1</v>
      </c>
      <c r="B513" s="425">
        <v>3</v>
      </c>
      <c r="C513" s="505" t="s">
        <v>216</v>
      </c>
      <c r="D513" s="505" t="s">
        <v>220</v>
      </c>
      <c r="E513" s="505"/>
      <c r="F513" s="505"/>
      <c r="G513" s="505"/>
      <c r="H513" s="505"/>
      <c r="I513" s="505"/>
      <c r="J513" s="505"/>
      <c r="K513" s="502" t="s">
        <v>736</v>
      </c>
      <c r="L513" s="427"/>
      <c r="M513" s="427"/>
      <c r="N513" s="427"/>
      <c r="O513" s="426">
        <f>+L513+M513-N513</f>
        <v>0</v>
      </c>
      <c r="P513" s="605"/>
      <c r="Q513" s="606"/>
      <c r="R513" s="607"/>
      <c r="S513" s="427"/>
      <c r="T513" s="427"/>
      <c r="U513" s="608"/>
      <c r="V513" s="737">
        <v>0</v>
      </c>
      <c r="W513" s="427"/>
      <c r="X513" s="522"/>
      <c r="Y513" s="522"/>
      <c r="Z513" s="738">
        <f t="shared" si="292"/>
        <v>0</v>
      </c>
      <c r="AA513" s="739">
        <f t="shared" si="293"/>
        <v>0</v>
      </c>
    </row>
    <row r="514" spans="1:27" ht="22.5" customHeight="1" thickTop="1" thickBot="1" x14ac:dyDescent="0.3">
      <c r="A514" s="425">
        <v>1</v>
      </c>
      <c r="B514" s="425">
        <v>3</v>
      </c>
      <c r="C514" s="505" t="s">
        <v>216</v>
      </c>
      <c r="D514" s="505" t="s">
        <v>231</v>
      </c>
      <c r="E514" s="505"/>
      <c r="F514" s="505"/>
      <c r="G514" s="505"/>
      <c r="H514" s="505"/>
      <c r="I514" s="505"/>
      <c r="J514" s="505"/>
      <c r="K514" s="502" t="s">
        <v>737</v>
      </c>
      <c r="L514" s="427"/>
      <c r="M514" s="427"/>
      <c r="N514" s="427"/>
      <c r="O514" s="426">
        <f>+L514+M514-N514</f>
        <v>0</v>
      </c>
      <c r="P514" s="605"/>
      <c r="Q514" s="606"/>
      <c r="R514" s="607"/>
      <c r="S514" s="427"/>
      <c r="T514" s="427"/>
      <c r="U514" s="608"/>
      <c r="V514" s="737">
        <v>0</v>
      </c>
      <c r="W514" s="427"/>
      <c r="X514" s="522"/>
      <c r="Y514" s="522"/>
      <c r="Z514" s="738">
        <f t="shared" si="292"/>
        <v>0</v>
      </c>
      <c r="AA514" s="739">
        <f t="shared" si="293"/>
        <v>0</v>
      </c>
    </row>
    <row r="515" spans="1:27" ht="22.5" customHeight="1" thickTop="1" thickBot="1" x14ac:dyDescent="0.3">
      <c r="A515" s="425">
        <v>1</v>
      </c>
      <c r="B515" s="425">
        <v>3</v>
      </c>
      <c r="C515" s="505" t="s">
        <v>216</v>
      </c>
      <c r="D515" s="505" t="s">
        <v>305</v>
      </c>
      <c r="E515" s="505"/>
      <c r="F515" s="505"/>
      <c r="G515" s="505"/>
      <c r="H515" s="505"/>
      <c r="I515" s="505"/>
      <c r="J515" s="505"/>
      <c r="K515" s="502" t="s">
        <v>738</v>
      </c>
      <c r="L515" s="427"/>
      <c r="M515" s="427"/>
      <c r="N515" s="427"/>
      <c r="O515" s="426">
        <f>+L515+M515-N515</f>
        <v>0</v>
      </c>
      <c r="P515" s="605"/>
      <c r="Q515" s="606"/>
      <c r="R515" s="607"/>
      <c r="S515" s="427"/>
      <c r="T515" s="427"/>
      <c r="U515" s="608"/>
      <c r="V515" s="737">
        <v>0</v>
      </c>
      <c r="W515" s="427"/>
      <c r="X515" s="522"/>
      <c r="Y515" s="522"/>
      <c r="Z515" s="738">
        <f t="shared" si="292"/>
        <v>0</v>
      </c>
      <c r="AA515" s="739">
        <f t="shared" si="293"/>
        <v>0</v>
      </c>
    </row>
    <row r="516" spans="1:27" ht="22.5" customHeight="1" thickTop="1" thickBot="1" x14ac:dyDescent="0.3">
      <c r="A516" s="425">
        <v>1</v>
      </c>
      <c r="B516" s="425">
        <v>3</v>
      </c>
      <c r="C516" s="505" t="s">
        <v>227</v>
      </c>
      <c r="D516" s="505"/>
      <c r="E516" s="505"/>
      <c r="F516" s="505"/>
      <c r="G516" s="505"/>
      <c r="H516" s="505"/>
      <c r="I516" s="505"/>
      <c r="J516" s="505"/>
      <c r="K516" s="501" t="s">
        <v>739</v>
      </c>
      <c r="L516" s="427"/>
      <c r="M516" s="427"/>
      <c r="N516" s="427"/>
      <c r="O516" s="426">
        <f>+L516+M516-N516</f>
        <v>0</v>
      </c>
      <c r="P516" s="605"/>
      <c r="Q516" s="606"/>
      <c r="R516" s="607"/>
      <c r="S516" s="427"/>
      <c r="T516" s="427"/>
      <c r="U516" s="608"/>
      <c r="V516" s="737">
        <v>0</v>
      </c>
      <c r="W516" s="427"/>
      <c r="X516" s="522"/>
      <c r="Y516" s="522"/>
      <c r="Z516" s="738">
        <f t="shared" si="292"/>
        <v>0</v>
      </c>
      <c r="AA516" s="739">
        <f t="shared" si="293"/>
        <v>0</v>
      </c>
    </row>
    <row r="517" spans="1:27" ht="22.5" customHeight="1" thickTop="1" thickBot="1" x14ac:dyDescent="0.3">
      <c r="A517" s="425">
        <v>1</v>
      </c>
      <c r="B517" s="425">
        <v>4</v>
      </c>
      <c r="C517" s="505"/>
      <c r="D517" s="505"/>
      <c r="E517" s="505"/>
      <c r="F517" s="505"/>
      <c r="G517" s="505"/>
      <c r="H517" s="505"/>
      <c r="I517" s="505"/>
      <c r="J517" s="505"/>
      <c r="K517" s="419" t="s">
        <v>740</v>
      </c>
      <c r="L517" s="427">
        <v>0</v>
      </c>
      <c r="M517" s="427">
        <v>0</v>
      </c>
      <c r="N517" s="427">
        <v>0</v>
      </c>
      <c r="O517" s="426">
        <v>0</v>
      </c>
      <c r="P517" s="605"/>
      <c r="Q517" s="606"/>
      <c r="R517" s="607"/>
      <c r="S517" s="427"/>
      <c r="T517" s="427"/>
      <c r="U517" s="608"/>
      <c r="V517" s="737">
        <v>0</v>
      </c>
      <c r="W517" s="427"/>
      <c r="X517" s="522"/>
      <c r="Y517" s="522"/>
      <c r="Z517" s="738">
        <f t="shared" si="292"/>
        <v>0</v>
      </c>
      <c r="AA517" s="739">
        <f t="shared" si="293"/>
        <v>0</v>
      </c>
    </row>
    <row r="518" spans="1:27" ht="22.5" customHeight="1" thickTop="1" thickBot="1" x14ac:dyDescent="0.3">
      <c r="A518" s="425">
        <v>1</v>
      </c>
      <c r="B518" s="505" t="s">
        <v>741</v>
      </c>
      <c r="C518" s="505"/>
      <c r="D518" s="505"/>
      <c r="E518" s="505"/>
      <c r="F518" s="505"/>
      <c r="G518" s="505"/>
      <c r="H518" s="505"/>
      <c r="I518" s="505"/>
      <c r="J518" s="505"/>
      <c r="K518" s="419" t="s">
        <v>742</v>
      </c>
      <c r="L518" s="427">
        <f>+L519+L523+L524</f>
        <v>0</v>
      </c>
      <c r="M518" s="427">
        <f t="shared" ref="M518:U518" si="300">+M519+M523+M524</f>
        <v>0</v>
      </c>
      <c r="N518" s="427">
        <f t="shared" si="300"/>
        <v>0</v>
      </c>
      <c r="O518" s="427">
        <f t="shared" si="300"/>
        <v>0</v>
      </c>
      <c r="P518" s="605">
        <f t="shared" si="300"/>
        <v>0</v>
      </c>
      <c r="Q518" s="606">
        <f t="shared" si="300"/>
        <v>0</v>
      </c>
      <c r="R518" s="607">
        <f t="shared" si="300"/>
        <v>0</v>
      </c>
      <c r="S518" s="427">
        <f t="shared" si="300"/>
        <v>0</v>
      </c>
      <c r="T518" s="427">
        <f t="shared" si="300"/>
        <v>0</v>
      </c>
      <c r="U518" s="608">
        <f t="shared" si="300"/>
        <v>0</v>
      </c>
      <c r="V518" s="427" t="e">
        <f t="shared" si="290"/>
        <v>#DIV/0!</v>
      </c>
      <c r="W518" s="427"/>
      <c r="X518" s="522"/>
      <c r="Y518" s="522"/>
    </row>
    <row r="519" spans="1:27" ht="22.5" customHeight="1" thickTop="1" thickBot="1" x14ac:dyDescent="0.3">
      <c r="A519" s="425">
        <v>1</v>
      </c>
      <c r="B519" s="505" t="s">
        <v>741</v>
      </c>
      <c r="C519" s="505" t="s">
        <v>216</v>
      </c>
      <c r="D519" s="505"/>
      <c r="E519" s="505"/>
      <c r="F519" s="505"/>
      <c r="G519" s="505"/>
      <c r="H519" s="505"/>
      <c r="I519" s="505"/>
      <c r="J519" s="505"/>
      <c r="K519" s="503" t="s">
        <v>743</v>
      </c>
      <c r="L519" s="427">
        <f>SUM(L520:L522)</f>
        <v>0</v>
      </c>
      <c r="M519" s="427">
        <f t="shared" ref="M519:U519" si="301">SUM(M520:M522)</f>
        <v>0</v>
      </c>
      <c r="N519" s="427">
        <f t="shared" si="301"/>
        <v>0</v>
      </c>
      <c r="O519" s="427">
        <f t="shared" si="301"/>
        <v>0</v>
      </c>
      <c r="P519" s="605">
        <f t="shared" si="301"/>
        <v>0</v>
      </c>
      <c r="Q519" s="606">
        <f t="shared" si="301"/>
        <v>0</v>
      </c>
      <c r="R519" s="607">
        <f t="shared" si="301"/>
        <v>0</v>
      </c>
      <c r="S519" s="427">
        <f t="shared" si="301"/>
        <v>0</v>
      </c>
      <c r="T519" s="427">
        <f t="shared" si="301"/>
        <v>0</v>
      </c>
      <c r="U519" s="608">
        <f t="shared" si="301"/>
        <v>0</v>
      </c>
      <c r="V519" s="427" t="e">
        <f t="shared" si="290"/>
        <v>#DIV/0!</v>
      </c>
      <c r="W519" s="427"/>
      <c r="X519" s="522"/>
      <c r="Y519" s="522"/>
    </row>
    <row r="520" spans="1:27" ht="22.5" customHeight="1" thickTop="1" thickBot="1" x14ac:dyDescent="0.3">
      <c r="A520" s="425">
        <v>1</v>
      </c>
      <c r="B520" s="505" t="s">
        <v>741</v>
      </c>
      <c r="C520" s="505" t="s">
        <v>216</v>
      </c>
      <c r="D520" s="505" t="s">
        <v>220</v>
      </c>
      <c r="E520" s="505"/>
      <c r="F520" s="505"/>
      <c r="G520" s="505"/>
      <c r="H520" s="505"/>
      <c r="I520" s="505"/>
      <c r="J520" s="505"/>
      <c r="K520" s="502" t="s">
        <v>744</v>
      </c>
      <c r="L520" s="427"/>
      <c r="M520" s="427"/>
      <c r="N520" s="427"/>
      <c r="O520" s="426">
        <f>+L520+M520-N520</f>
        <v>0</v>
      </c>
      <c r="P520" s="605"/>
      <c r="Q520" s="606"/>
      <c r="R520" s="607"/>
      <c r="S520" s="427"/>
      <c r="T520" s="427"/>
      <c r="U520" s="608"/>
      <c r="V520" s="737">
        <v>0</v>
      </c>
      <c r="W520" s="427"/>
      <c r="X520" s="522"/>
      <c r="Y520" s="522"/>
      <c r="Z520" s="738">
        <f t="shared" ref="Z520:Z524" si="302">SUBTOTAL(9,P520:S520)</f>
        <v>0</v>
      </c>
      <c r="AA520" s="739">
        <f t="shared" ref="AA520:AA524" si="303">+Z520-O520</f>
        <v>0</v>
      </c>
    </row>
    <row r="521" spans="1:27" ht="22.5" customHeight="1" thickTop="1" thickBot="1" x14ac:dyDescent="0.3">
      <c r="A521" s="425">
        <v>1</v>
      </c>
      <c r="B521" s="505" t="s">
        <v>741</v>
      </c>
      <c r="C521" s="505" t="s">
        <v>216</v>
      </c>
      <c r="D521" s="505" t="s">
        <v>231</v>
      </c>
      <c r="E521" s="505"/>
      <c r="F521" s="505"/>
      <c r="G521" s="505"/>
      <c r="H521" s="505"/>
      <c r="I521" s="505"/>
      <c r="J521" s="505"/>
      <c r="K521" s="502" t="s">
        <v>745</v>
      </c>
      <c r="L521" s="427"/>
      <c r="M521" s="427"/>
      <c r="N521" s="427"/>
      <c r="O521" s="426">
        <f>+L521+M521-N521</f>
        <v>0</v>
      </c>
      <c r="P521" s="605"/>
      <c r="Q521" s="606"/>
      <c r="R521" s="607"/>
      <c r="S521" s="427"/>
      <c r="T521" s="427"/>
      <c r="U521" s="608"/>
      <c r="V521" s="737">
        <v>0</v>
      </c>
      <c r="W521" s="427"/>
      <c r="X521" s="522"/>
      <c r="Y521" s="522"/>
      <c r="Z521" s="738">
        <f t="shared" si="302"/>
        <v>0</v>
      </c>
      <c r="AA521" s="739">
        <f t="shared" si="303"/>
        <v>0</v>
      </c>
    </row>
    <row r="522" spans="1:27" ht="22.5" customHeight="1" thickTop="1" thickBot="1" x14ac:dyDescent="0.3">
      <c r="A522" s="425">
        <v>1</v>
      </c>
      <c r="B522" s="505" t="s">
        <v>741</v>
      </c>
      <c r="C522" s="505" t="s">
        <v>216</v>
      </c>
      <c r="D522" s="505" t="s">
        <v>305</v>
      </c>
      <c r="E522" s="505"/>
      <c r="F522" s="505"/>
      <c r="G522" s="505"/>
      <c r="H522" s="505"/>
      <c r="I522" s="505"/>
      <c r="J522" s="505"/>
      <c r="K522" s="502" t="s">
        <v>746</v>
      </c>
      <c r="L522" s="427"/>
      <c r="M522" s="427"/>
      <c r="N522" s="427"/>
      <c r="O522" s="426">
        <f>+L522+M522-N522</f>
        <v>0</v>
      </c>
      <c r="P522" s="605"/>
      <c r="Q522" s="606"/>
      <c r="R522" s="607"/>
      <c r="S522" s="427"/>
      <c r="T522" s="427"/>
      <c r="U522" s="608"/>
      <c r="V522" s="737">
        <v>0</v>
      </c>
      <c r="W522" s="427"/>
      <c r="X522" s="522"/>
      <c r="Y522" s="522"/>
      <c r="Z522" s="738">
        <f t="shared" si="302"/>
        <v>0</v>
      </c>
      <c r="AA522" s="739">
        <f t="shared" si="303"/>
        <v>0</v>
      </c>
    </row>
    <row r="523" spans="1:27" ht="22.5" customHeight="1" thickTop="1" thickBot="1" x14ac:dyDescent="0.3">
      <c r="A523" s="425">
        <v>1</v>
      </c>
      <c r="B523" s="505" t="s">
        <v>741</v>
      </c>
      <c r="C523" s="505" t="s">
        <v>227</v>
      </c>
      <c r="D523" s="505"/>
      <c r="E523" s="505"/>
      <c r="F523" s="505"/>
      <c r="G523" s="505"/>
      <c r="H523" s="505"/>
      <c r="I523" s="505"/>
      <c r="J523" s="505"/>
      <c r="K523" s="503" t="s">
        <v>747</v>
      </c>
      <c r="L523" s="427"/>
      <c r="M523" s="427"/>
      <c r="N523" s="427"/>
      <c r="O523" s="426">
        <f>+L523+M523-N523</f>
        <v>0</v>
      </c>
      <c r="P523" s="605"/>
      <c r="Q523" s="606"/>
      <c r="R523" s="607"/>
      <c r="S523" s="427"/>
      <c r="T523" s="427"/>
      <c r="U523" s="608"/>
      <c r="V523" s="737">
        <v>0</v>
      </c>
      <c r="W523" s="427"/>
      <c r="X523" s="522"/>
      <c r="Y523" s="522"/>
      <c r="Z523" s="738">
        <f t="shared" si="302"/>
        <v>0</v>
      </c>
      <c r="AA523" s="739">
        <f t="shared" si="303"/>
        <v>0</v>
      </c>
    </row>
    <row r="524" spans="1:27" ht="22.5" customHeight="1" thickTop="1" thickBot="1" x14ac:dyDescent="0.3">
      <c r="A524" s="425">
        <v>1</v>
      </c>
      <c r="B524" s="505" t="s">
        <v>741</v>
      </c>
      <c r="C524" s="505" t="s">
        <v>229</v>
      </c>
      <c r="D524" s="505"/>
      <c r="E524" s="505"/>
      <c r="F524" s="505"/>
      <c r="G524" s="505"/>
      <c r="H524" s="505"/>
      <c r="I524" s="505"/>
      <c r="J524" s="505"/>
      <c r="K524" s="503" t="s">
        <v>748</v>
      </c>
      <c r="L524" s="427"/>
      <c r="M524" s="427"/>
      <c r="N524" s="427"/>
      <c r="O524" s="426">
        <f>+L524+M524-N524</f>
        <v>0</v>
      </c>
      <c r="P524" s="605"/>
      <c r="Q524" s="606"/>
      <c r="R524" s="607"/>
      <c r="S524" s="427"/>
      <c r="T524" s="427"/>
      <c r="U524" s="608"/>
      <c r="V524" s="737">
        <v>0</v>
      </c>
      <c r="W524" s="427"/>
      <c r="X524" s="522"/>
      <c r="Y524" s="522"/>
      <c r="Z524" s="738">
        <f t="shared" si="302"/>
        <v>0</v>
      </c>
      <c r="AA524" s="739">
        <f t="shared" si="303"/>
        <v>0</v>
      </c>
    </row>
    <row r="525" spans="1:27" ht="22.5" customHeight="1" thickTop="1" x14ac:dyDescent="0.25">
      <c r="A525" s="526"/>
      <c r="B525" s="526"/>
      <c r="C525" s="527"/>
      <c r="D525" s="527"/>
      <c r="E525" s="527"/>
      <c r="F525" s="527"/>
      <c r="G525" s="527"/>
      <c r="H525" s="527"/>
      <c r="I525" s="527"/>
      <c r="J525" s="527"/>
      <c r="K525" s="528"/>
      <c r="L525" s="529"/>
      <c r="M525" s="529"/>
      <c r="N525" s="529"/>
      <c r="O525" s="529"/>
      <c r="P525" s="529"/>
      <c r="Q525" s="529"/>
      <c r="R525" s="529"/>
      <c r="S525" s="529"/>
      <c r="T525" s="529"/>
      <c r="U525" s="529"/>
      <c r="V525" s="530"/>
      <c r="W525" s="526"/>
      <c r="X525" s="531"/>
      <c r="Y525" s="531"/>
    </row>
    <row r="526" spans="1:27" ht="22.5" customHeight="1" x14ac:dyDescent="0.25">
      <c r="A526" s="526"/>
      <c r="B526" s="527"/>
      <c r="C526" s="527"/>
      <c r="D526" s="527"/>
      <c r="E526" s="527"/>
      <c r="F526" s="527"/>
      <c r="G526" s="527"/>
      <c r="H526" s="527"/>
      <c r="I526" s="527"/>
      <c r="J526" s="527"/>
      <c r="K526" s="528"/>
      <c r="L526" s="529"/>
      <c r="M526" s="529"/>
      <c r="N526" s="529"/>
      <c r="O526" s="529"/>
      <c r="P526" s="529"/>
      <c r="Q526" s="529"/>
      <c r="R526" s="529"/>
      <c r="S526" s="529"/>
      <c r="T526" s="529"/>
      <c r="U526" s="529"/>
      <c r="V526" s="530"/>
      <c r="W526" s="526"/>
      <c r="X526" s="531"/>
      <c r="Y526" s="531"/>
    </row>
    <row r="527" spans="1:27" ht="22.5" customHeight="1" x14ac:dyDescent="0.25">
      <c r="A527" s="526"/>
      <c r="B527" s="526"/>
      <c r="C527" s="527"/>
      <c r="D527" s="527"/>
      <c r="E527" s="527"/>
      <c r="F527" s="527"/>
      <c r="G527" s="527"/>
      <c r="H527" s="527"/>
      <c r="I527" s="527"/>
      <c r="J527" s="527"/>
      <c r="K527" s="528"/>
      <c r="L527" s="529"/>
      <c r="M527" s="529"/>
      <c r="N527" s="529"/>
      <c r="O527" s="529"/>
      <c r="P527" s="529"/>
      <c r="Q527" s="529"/>
      <c r="R527" s="529"/>
      <c r="S527" s="529"/>
      <c r="T527" s="529"/>
      <c r="U527" s="529"/>
      <c r="V527" s="530"/>
      <c r="W527" s="526"/>
      <c r="X527" s="531"/>
      <c r="Y527" s="531"/>
    </row>
    <row r="528" spans="1:27" ht="22.5" customHeight="1" x14ac:dyDescent="0.25">
      <c r="A528" s="526"/>
      <c r="B528" s="526"/>
      <c r="C528" s="527"/>
      <c r="D528" s="527"/>
      <c r="E528" s="527"/>
      <c r="F528" s="527"/>
      <c r="G528" s="527"/>
      <c r="H528" s="527"/>
      <c r="I528" s="527"/>
      <c r="J528" s="527"/>
      <c r="K528" s="528"/>
      <c r="L528" s="529"/>
      <c r="M528" s="529"/>
      <c r="N528" s="529"/>
      <c r="O528" s="529"/>
      <c r="P528" s="529"/>
      <c r="Q528" s="529"/>
      <c r="R528" s="529"/>
      <c r="S528" s="529"/>
      <c r="T528" s="529"/>
      <c r="U528" s="529"/>
      <c r="V528" s="530"/>
      <c r="W528" s="526"/>
      <c r="X528" s="531"/>
      <c r="Y528" s="531"/>
    </row>
    <row r="529" spans="1:25" ht="22.5" customHeight="1" x14ac:dyDescent="0.25">
      <c r="A529" s="526"/>
      <c r="B529" s="527"/>
      <c r="C529" s="527"/>
      <c r="D529" s="527"/>
      <c r="E529" s="527"/>
      <c r="F529" s="527"/>
      <c r="G529" s="527"/>
      <c r="H529" s="527"/>
      <c r="I529" s="527"/>
      <c r="J529" s="527"/>
      <c r="K529" s="528"/>
      <c r="L529" s="529"/>
      <c r="M529" s="529"/>
      <c r="N529" s="529"/>
      <c r="O529" s="529"/>
      <c r="P529" s="529"/>
      <c r="Q529" s="529"/>
      <c r="R529" s="529"/>
      <c r="S529" s="529"/>
      <c r="T529" s="529"/>
      <c r="U529" s="529"/>
      <c r="V529" s="530"/>
      <c r="W529" s="526"/>
      <c r="X529" s="531"/>
      <c r="Y529" s="531"/>
    </row>
    <row r="530" spans="1:25" ht="22.5" customHeight="1" x14ac:dyDescent="0.25">
      <c r="A530" s="526"/>
      <c r="B530" s="526"/>
      <c r="C530" s="527"/>
      <c r="D530" s="527"/>
      <c r="E530" s="527"/>
      <c r="F530" s="527"/>
      <c r="G530" s="527"/>
      <c r="H530" s="527"/>
      <c r="I530" s="527"/>
      <c r="J530" s="527"/>
      <c r="K530" s="528"/>
      <c r="L530" s="529"/>
      <c r="M530" s="529"/>
      <c r="N530" s="529"/>
      <c r="O530" s="529"/>
      <c r="P530" s="529"/>
      <c r="Q530" s="529"/>
      <c r="R530" s="529"/>
      <c r="S530" s="529"/>
      <c r="T530" s="529"/>
      <c r="U530" s="529"/>
      <c r="V530" s="530"/>
      <c r="W530" s="526"/>
      <c r="X530" s="531"/>
      <c r="Y530" s="531"/>
    </row>
    <row r="531" spans="1:25" ht="22.5" customHeight="1" x14ac:dyDescent="0.25">
      <c r="A531" s="526"/>
      <c r="B531" s="527"/>
      <c r="C531" s="527"/>
      <c r="D531" s="527"/>
      <c r="E531" s="527"/>
      <c r="F531" s="527"/>
      <c r="G531" s="527"/>
      <c r="H531" s="527"/>
      <c r="I531" s="527"/>
      <c r="J531" s="527"/>
      <c r="K531" s="528"/>
      <c r="L531" s="529"/>
      <c r="M531" s="529"/>
      <c r="N531" s="529"/>
      <c r="O531" s="529"/>
      <c r="P531" s="529"/>
      <c r="Q531" s="529"/>
      <c r="R531" s="529"/>
      <c r="S531" s="529"/>
      <c r="T531" s="529"/>
      <c r="U531" s="529"/>
      <c r="V531" s="530"/>
      <c r="W531" s="526"/>
      <c r="X531" s="531"/>
      <c r="Y531" s="531"/>
    </row>
    <row r="532" spans="1:25" ht="22.5" customHeight="1" x14ac:dyDescent="0.25">
      <c r="A532" s="526"/>
      <c r="B532" s="526"/>
      <c r="C532" s="527"/>
      <c r="D532" s="527"/>
      <c r="E532" s="527"/>
      <c r="F532" s="527"/>
      <c r="G532" s="527"/>
      <c r="H532" s="527"/>
      <c r="I532" s="527"/>
      <c r="J532" s="527"/>
      <c r="K532" s="528"/>
      <c r="L532" s="529"/>
      <c r="M532" s="529"/>
      <c r="N532" s="529"/>
      <c r="O532" s="529"/>
      <c r="P532" s="529"/>
      <c r="Q532" s="529"/>
      <c r="R532" s="529"/>
      <c r="S532" s="529"/>
      <c r="T532" s="529"/>
      <c r="U532" s="529"/>
      <c r="V532" s="530"/>
      <c r="W532" s="526"/>
      <c r="X532" s="531"/>
      <c r="Y532" s="531"/>
    </row>
    <row r="533" spans="1:25" ht="22.5" customHeight="1" x14ac:dyDescent="0.25">
      <c r="A533" s="526"/>
      <c r="B533" s="527"/>
      <c r="C533" s="527"/>
      <c r="D533" s="527"/>
      <c r="E533" s="527"/>
      <c r="F533" s="527"/>
      <c r="G533" s="527"/>
      <c r="H533" s="527"/>
      <c r="I533" s="527"/>
      <c r="J533" s="527"/>
      <c r="K533" s="528"/>
      <c r="L533" s="529"/>
      <c r="M533" s="529"/>
      <c r="N533" s="529"/>
      <c r="O533" s="529"/>
      <c r="P533" s="529"/>
      <c r="Q533" s="529"/>
      <c r="R533" s="529"/>
      <c r="S533" s="529"/>
      <c r="T533" s="529"/>
      <c r="U533" s="529"/>
      <c r="V533" s="530"/>
      <c r="W533" s="526"/>
      <c r="X533" s="531"/>
      <c r="Y533" s="531"/>
    </row>
    <row r="534" spans="1:25" ht="22.5" customHeight="1" x14ac:dyDescent="0.25">
      <c r="A534" s="526"/>
      <c r="B534" s="526"/>
      <c r="C534" s="527"/>
      <c r="D534" s="527"/>
      <c r="E534" s="527"/>
      <c r="F534" s="527"/>
      <c r="G534" s="527"/>
      <c r="H534" s="527"/>
      <c r="I534" s="527"/>
      <c r="J534" s="527"/>
      <c r="K534" s="528"/>
      <c r="L534" s="529"/>
      <c r="M534" s="529"/>
      <c r="N534" s="529"/>
      <c r="O534" s="529"/>
      <c r="P534" s="529"/>
      <c r="Q534" s="529"/>
      <c r="R534" s="529"/>
      <c r="S534" s="529"/>
      <c r="T534" s="529"/>
      <c r="U534" s="529"/>
      <c r="V534" s="530"/>
      <c r="W534" s="526"/>
      <c r="X534" s="531"/>
      <c r="Y534" s="531"/>
    </row>
    <row r="535" spans="1:25" ht="22.5" customHeight="1" x14ac:dyDescent="0.25">
      <c r="A535" s="526"/>
      <c r="B535" s="527"/>
      <c r="C535" s="527"/>
      <c r="D535" s="527"/>
      <c r="E535" s="527"/>
      <c r="F535" s="527"/>
      <c r="G535" s="527"/>
      <c r="H535" s="527"/>
      <c r="I535" s="527"/>
      <c r="J535" s="527"/>
      <c r="K535" s="528"/>
      <c r="L535" s="529"/>
      <c r="M535" s="529"/>
      <c r="N535" s="529"/>
      <c r="O535" s="529"/>
      <c r="P535" s="529"/>
      <c r="Q535" s="529"/>
      <c r="R535" s="529"/>
      <c r="S535" s="529"/>
      <c r="T535" s="529"/>
      <c r="U535" s="529"/>
      <c r="V535" s="530"/>
      <c r="W535" s="526"/>
      <c r="X535" s="531"/>
      <c r="Y535" s="531"/>
    </row>
    <row r="536" spans="1:25" ht="22.5" customHeight="1" x14ac:dyDescent="0.25">
      <c r="A536" s="526"/>
      <c r="B536" s="526"/>
      <c r="C536" s="527"/>
      <c r="D536" s="527"/>
      <c r="E536" s="527"/>
      <c r="F536" s="527"/>
      <c r="G536" s="527"/>
      <c r="H536" s="527"/>
      <c r="I536" s="527"/>
      <c r="J536" s="527"/>
      <c r="K536" s="528"/>
      <c r="L536" s="529"/>
      <c r="M536" s="529"/>
      <c r="N536" s="529"/>
      <c r="O536" s="529"/>
      <c r="P536" s="529"/>
      <c r="Q536" s="529"/>
      <c r="R536" s="529"/>
      <c r="S536" s="529"/>
      <c r="T536" s="529"/>
      <c r="U536" s="529"/>
      <c r="V536" s="530"/>
      <c r="W536" s="526"/>
      <c r="X536" s="531"/>
      <c r="Y536" s="531"/>
    </row>
    <row r="537" spans="1:25" ht="22.5" customHeight="1" x14ac:dyDescent="0.25">
      <c r="A537" s="526"/>
      <c r="B537" s="527"/>
      <c r="C537" s="527"/>
      <c r="D537" s="527"/>
      <c r="E537" s="527"/>
      <c r="F537" s="527"/>
      <c r="G537" s="527"/>
      <c r="H537" s="527"/>
      <c r="I537" s="527"/>
      <c r="J537" s="527"/>
      <c r="K537" s="528"/>
      <c r="L537" s="529"/>
      <c r="M537" s="529"/>
      <c r="N537" s="529"/>
      <c r="O537" s="529"/>
      <c r="P537" s="529"/>
      <c r="Q537" s="529"/>
      <c r="R537" s="529"/>
      <c r="S537" s="529"/>
      <c r="T537" s="529"/>
      <c r="U537" s="529"/>
      <c r="V537" s="530"/>
      <c r="W537" s="526"/>
      <c r="X537" s="531"/>
      <c r="Y537" s="531"/>
    </row>
    <row r="538" spans="1:25" ht="22.5" customHeight="1" x14ac:dyDescent="0.25">
      <c r="A538" s="526"/>
      <c r="B538" s="526"/>
      <c r="C538" s="527"/>
      <c r="D538" s="527"/>
      <c r="E538" s="527"/>
      <c r="F538" s="527"/>
      <c r="G538" s="527"/>
      <c r="H538" s="527"/>
      <c r="I538" s="527"/>
      <c r="J538" s="527"/>
      <c r="K538" s="528"/>
      <c r="L538" s="529"/>
      <c r="M538" s="529"/>
      <c r="N538" s="529"/>
      <c r="O538" s="529"/>
      <c r="P538" s="529"/>
      <c r="Q538" s="529"/>
      <c r="R538" s="529"/>
      <c r="S538" s="529"/>
      <c r="T538" s="529"/>
      <c r="U538" s="529"/>
      <c r="V538" s="530"/>
      <c r="W538" s="526"/>
      <c r="X538" s="531"/>
      <c r="Y538" s="531"/>
    </row>
    <row r="539" spans="1:25" ht="22.5" customHeight="1" x14ac:dyDescent="0.25">
      <c r="A539" s="526"/>
      <c r="B539" s="527"/>
      <c r="C539" s="527"/>
      <c r="D539" s="527"/>
      <c r="E539" s="527"/>
      <c r="F539" s="527"/>
      <c r="G539" s="527"/>
      <c r="H539" s="527"/>
      <c r="I539" s="527"/>
      <c r="J539" s="527"/>
      <c r="K539" s="528"/>
      <c r="L539" s="529"/>
      <c r="M539" s="529"/>
      <c r="N539" s="529"/>
      <c r="O539" s="529"/>
      <c r="P539" s="529"/>
      <c r="Q539" s="529"/>
      <c r="R539" s="529"/>
      <c r="S539" s="529"/>
      <c r="T539" s="529"/>
      <c r="U539" s="529"/>
      <c r="V539" s="530"/>
      <c r="W539" s="526"/>
      <c r="X539" s="531"/>
      <c r="Y539" s="531"/>
    </row>
    <row r="540" spans="1:25" s="174" customFormat="1" ht="22.5" customHeight="1" x14ac:dyDescent="0.25">
      <c r="A540" s="526"/>
      <c r="B540" s="527"/>
      <c r="C540" s="527"/>
      <c r="D540" s="527"/>
      <c r="E540" s="527"/>
      <c r="F540" s="527"/>
      <c r="G540" s="527"/>
      <c r="H540" s="532"/>
      <c r="I540" s="532"/>
      <c r="J540" s="532"/>
      <c r="K540" s="533"/>
      <c r="L540" s="534"/>
      <c r="M540" s="534"/>
      <c r="N540" s="534"/>
      <c r="O540" s="534"/>
      <c r="P540" s="534"/>
      <c r="Q540" s="534"/>
      <c r="R540" s="534"/>
      <c r="S540" s="534"/>
      <c r="T540" s="534"/>
      <c r="U540" s="534"/>
      <c r="V540" s="535"/>
      <c r="W540" s="536"/>
      <c r="X540" s="531"/>
      <c r="Y540" s="531"/>
    </row>
    <row r="541" spans="1:25" s="174" customFormat="1" ht="22.5" customHeight="1" x14ac:dyDescent="0.25">
      <c r="A541" s="526"/>
      <c r="B541" s="527"/>
      <c r="C541" s="527"/>
      <c r="D541" s="527"/>
      <c r="E541" s="527"/>
      <c r="F541" s="527"/>
      <c r="G541" s="527"/>
      <c r="H541" s="532"/>
      <c r="I541" s="532"/>
      <c r="J541" s="532"/>
      <c r="K541" s="533"/>
      <c r="L541" s="534"/>
      <c r="M541" s="534"/>
      <c r="N541" s="534"/>
      <c r="O541" s="534"/>
      <c r="P541" s="534"/>
      <c r="Q541" s="534"/>
      <c r="R541" s="534"/>
      <c r="S541" s="534"/>
      <c r="T541" s="534"/>
      <c r="U541" s="534"/>
      <c r="V541" s="535"/>
      <c r="W541" s="536"/>
      <c r="X541" s="531"/>
      <c r="Y541" s="531"/>
    </row>
    <row r="542" spans="1:25" ht="22.5" customHeight="1" x14ac:dyDescent="0.25">
      <c r="A542" s="526"/>
      <c r="B542" s="527"/>
      <c r="C542" s="527"/>
      <c r="D542" s="527"/>
      <c r="E542" s="527"/>
      <c r="F542" s="527"/>
      <c r="G542" s="527"/>
      <c r="H542" s="527"/>
      <c r="I542" s="527"/>
      <c r="J542" s="527"/>
      <c r="K542" s="528"/>
      <c r="L542" s="529"/>
      <c r="M542" s="529"/>
      <c r="N542" s="529"/>
      <c r="O542" s="529"/>
      <c r="P542" s="529"/>
      <c r="Q542" s="529"/>
      <c r="R542" s="529"/>
      <c r="S542" s="529"/>
      <c r="T542" s="529"/>
      <c r="U542" s="529"/>
      <c r="V542" s="530"/>
      <c r="W542" s="526"/>
      <c r="X542" s="531"/>
      <c r="Y542" s="531"/>
    </row>
    <row r="543" spans="1:25" ht="22.5" customHeight="1" x14ac:dyDescent="0.25">
      <c r="A543" s="526"/>
      <c r="B543" s="527"/>
      <c r="C543" s="527"/>
      <c r="D543" s="527"/>
      <c r="E543" s="527"/>
      <c r="F543" s="527"/>
      <c r="G543" s="527"/>
      <c r="H543" s="527"/>
      <c r="I543" s="527"/>
      <c r="J543" s="527"/>
      <c r="K543" s="528"/>
      <c r="L543" s="529"/>
      <c r="M543" s="529"/>
      <c r="N543" s="529"/>
      <c r="O543" s="529"/>
      <c r="P543" s="529"/>
      <c r="Q543" s="529"/>
      <c r="R543" s="529"/>
      <c r="S543" s="529"/>
      <c r="T543" s="529"/>
      <c r="U543" s="529"/>
      <c r="V543" s="530"/>
      <c r="W543" s="526"/>
      <c r="X543" s="531"/>
      <c r="Y543" s="531"/>
    </row>
    <row r="544" spans="1:25" ht="22.5" customHeight="1" x14ac:dyDescent="0.25">
      <c r="A544" s="526"/>
      <c r="B544" s="527"/>
      <c r="C544" s="527"/>
      <c r="D544" s="527"/>
      <c r="E544" s="527"/>
      <c r="F544" s="527"/>
      <c r="G544" s="527"/>
      <c r="H544" s="527"/>
      <c r="I544" s="527"/>
      <c r="J544" s="527"/>
      <c r="K544" s="528"/>
      <c r="L544" s="529"/>
      <c r="M544" s="529"/>
      <c r="N544" s="529"/>
      <c r="O544" s="529"/>
      <c r="P544" s="529"/>
      <c r="Q544" s="529"/>
      <c r="R544" s="529"/>
      <c r="S544" s="529"/>
      <c r="T544" s="529"/>
      <c r="U544" s="529"/>
      <c r="V544" s="530"/>
      <c r="W544" s="526"/>
      <c r="X544" s="531"/>
      <c r="Y544" s="531"/>
    </row>
    <row r="545" spans="1:25" ht="22.5" customHeight="1" x14ac:dyDescent="0.25">
      <c r="A545" s="526"/>
      <c r="B545" s="527"/>
      <c r="C545" s="527"/>
      <c r="D545" s="527"/>
      <c r="E545" s="527"/>
      <c r="F545" s="527"/>
      <c r="G545" s="527"/>
      <c r="H545" s="527"/>
      <c r="I545" s="527"/>
      <c r="J545" s="527"/>
      <c r="K545" s="528"/>
      <c r="L545" s="529"/>
      <c r="M545" s="529"/>
      <c r="N545" s="529"/>
      <c r="O545" s="529"/>
      <c r="P545" s="529"/>
      <c r="Q545" s="529"/>
      <c r="R545" s="529"/>
      <c r="S545" s="529"/>
      <c r="T545" s="529"/>
      <c r="U545" s="529"/>
      <c r="V545" s="530"/>
      <c r="W545" s="526"/>
      <c r="X545" s="531"/>
      <c r="Y545" s="531"/>
    </row>
    <row r="546" spans="1:25" ht="22.5" customHeight="1" x14ac:dyDescent="0.25">
      <c r="A546" s="526"/>
      <c r="B546" s="527"/>
      <c r="C546" s="527"/>
      <c r="D546" s="527"/>
      <c r="E546" s="527"/>
      <c r="F546" s="527"/>
      <c r="G546" s="527"/>
      <c r="H546" s="527"/>
      <c r="I546" s="527"/>
      <c r="J546" s="527"/>
      <c r="K546" s="528"/>
      <c r="L546" s="529"/>
      <c r="M546" s="529"/>
      <c r="N546" s="529"/>
      <c r="O546" s="529"/>
      <c r="P546" s="529"/>
      <c r="Q546" s="529"/>
      <c r="R546" s="529"/>
      <c r="S546" s="529"/>
      <c r="T546" s="529"/>
      <c r="U546" s="529"/>
      <c r="V546" s="530"/>
      <c r="W546" s="526"/>
      <c r="X546" s="531"/>
      <c r="Y546" s="531"/>
    </row>
    <row r="547" spans="1:25" ht="22.5" customHeight="1" x14ac:dyDescent="0.25">
      <c r="A547" s="526"/>
      <c r="B547" s="527"/>
      <c r="C547" s="527"/>
      <c r="D547" s="527"/>
      <c r="E547" s="527"/>
      <c r="F547" s="527"/>
      <c r="G547" s="527"/>
      <c r="H547" s="527"/>
      <c r="I547" s="527"/>
      <c r="J547" s="527"/>
      <c r="K547" s="528"/>
      <c r="L547" s="529"/>
      <c r="M547" s="529"/>
      <c r="N547" s="529"/>
      <c r="O547" s="529"/>
      <c r="P547" s="529"/>
      <c r="Q547" s="529"/>
      <c r="R547" s="529"/>
      <c r="S547" s="529"/>
      <c r="T547" s="529"/>
      <c r="U547" s="529"/>
      <c r="V547" s="530"/>
      <c r="W547" s="526"/>
      <c r="X547" s="531"/>
      <c r="Y547" s="531"/>
    </row>
    <row r="548" spans="1:25" ht="22.5" customHeight="1" x14ac:dyDescent="0.25">
      <c r="A548" s="526"/>
      <c r="B548" s="527"/>
      <c r="C548" s="527"/>
      <c r="D548" s="527"/>
      <c r="E548" s="527"/>
      <c r="F548" s="527"/>
      <c r="G548" s="527"/>
      <c r="H548" s="527"/>
      <c r="I548" s="527"/>
      <c r="J548" s="527"/>
      <c r="K548" s="528"/>
      <c r="L548" s="529"/>
      <c r="M548" s="529"/>
      <c r="N548" s="529"/>
      <c r="O548" s="529"/>
      <c r="P548" s="529"/>
      <c r="Q548" s="529"/>
      <c r="R548" s="529"/>
      <c r="S548" s="529"/>
      <c r="T548" s="529"/>
      <c r="U548" s="529"/>
      <c r="V548" s="530"/>
      <c r="W548" s="526"/>
      <c r="X548" s="531"/>
      <c r="Y548" s="531"/>
    </row>
    <row r="549" spans="1:25" ht="22.5" customHeight="1" x14ac:dyDescent="0.25">
      <c r="A549" s="526"/>
      <c r="B549" s="527"/>
      <c r="C549" s="527"/>
      <c r="D549" s="527"/>
      <c r="E549" s="527"/>
      <c r="F549" s="527"/>
      <c r="G549" s="527"/>
      <c r="H549" s="527"/>
      <c r="I549" s="527"/>
      <c r="J549" s="527"/>
      <c r="K549" s="528"/>
      <c r="L549" s="529"/>
      <c r="M549" s="529"/>
      <c r="N549" s="529"/>
      <c r="O549" s="529"/>
      <c r="P549" s="529"/>
      <c r="Q549" s="529"/>
      <c r="R549" s="529"/>
      <c r="S549" s="529"/>
      <c r="T549" s="529"/>
      <c r="U549" s="529"/>
      <c r="V549" s="530"/>
      <c r="W549" s="526"/>
      <c r="X549" s="531"/>
      <c r="Y549" s="531"/>
    </row>
    <row r="550" spans="1:25" ht="22.5" customHeight="1" x14ac:dyDescent="0.25">
      <c r="A550" s="526"/>
      <c r="B550" s="527"/>
      <c r="C550" s="527"/>
      <c r="D550" s="527"/>
      <c r="E550" s="527"/>
      <c r="F550" s="527"/>
      <c r="G550" s="527"/>
      <c r="H550" s="527"/>
      <c r="I550" s="527"/>
      <c r="J550" s="527"/>
      <c r="K550" s="528"/>
      <c r="L550" s="529"/>
      <c r="M550" s="529"/>
      <c r="N550" s="529"/>
      <c r="O550" s="529"/>
      <c r="P550" s="529"/>
      <c r="Q550" s="529"/>
      <c r="R550" s="529"/>
      <c r="S550" s="529"/>
      <c r="T550" s="529"/>
      <c r="U550" s="529"/>
      <c r="V550" s="530"/>
      <c r="W550" s="526"/>
      <c r="X550" s="531"/>
      <c r="Y550" s="531"/>
    </row>
    <row r="551" spans="1:25" ht="22.5" customHeight="1" x14ac:dyDescent="0.25">
      <c r="A551" s="526"/>
      <c r="B551" s="527"/>
      <c r="C551" s="527"/>
      <c r="D551" s="527"/>
      <c r="E551" s="527"/>
      <c r="F551" s="527"/>
      <c r="G551" s="527"/>
      <c r="H551" s="527"/>
      <c r="I551" s="527"/>
      <c r="J551" s="527"/>
      <c r="K551" s="528"/>
      <c r="L551" s="529"/>
      <c r="M551" s="529"/>
      <c r="N551" s="529"/>
      <c r="O551" s="529"/>
      <c r="P551" s="529"/>
      <c r="Q551" s="529"/>
      <c r="R551" s="529"/>
      <c r="S551" s="529"/>
      <c r="T551" s="529"/>
      <c r="U551" s="529"/>
      <c r="V551" s="530"/>
      <c r="W551" s="526"/>
      <c r="X551" s="531"/>
      <c r="Y551" s="531"/>
    </row>
    <row r="552" spans="1:25" ht="22.5" customHeight="1" x14ac:dyDescent="0.25">
      <c r="A552" s="526"/>
      <c r="B552" s="527"/>
      <c r="C552" s="527"/>
      <c r="D552" s="527"/>
      <c r="E552" s="527"/>
      <c r="F552" s="527"/>
      <c r="G552" s="527"/>
      <c r="H552" s="527"/>
      <c r="I552" s="527"/>
      <c r="J552" s="527"/>
      <c r="K552" s="528"/>
      <c r="L552" s="529"/>
      <c r="M552" s="529"/>
      <c r="N552" s="529"/>
      <c r="O552" s="529"/>
      <c r="P552" s="529"/>
      <c r="Q552" s="529"/>
      <c r="R552" s="529"/>
      <c r="S552" s="529"/>
      <c r="T552" s="529"/>
      <c r="U552" s="529"/>
      <c r="V552" s="530"/>
      <c r="W552" s="526"/>
      <c r="X552" s="531"/>
      <c r="Y552" s="531"/>
    </row>
    <row r="553" spans="1:25" ht="22.5" customHeight="1" x14ac:dyDescent="0.25">
      <c r="A553" s="526"/>
      <c r="B553" s="527"/>
      <c r="C553" s="527"/>
      <c r="D553" s="527"/>
      <c r="E553" s="527"/>
      <c r="F553" s="527"/>
      <c r="G553" s="527"/>
      <c r="H553" s="527"/>
      <c r="I553" s="527"/>
      <c r="J553" s="527"/>
      <c r="K553" s="528"/>
      <c r="L553" s="529"/>
      <c r="M553" s="529"/>
      <c r="N553" s="529"/>
      <c r="O553" s="529"/>
      <c r="P553" s="529"/>
      <c r="Q553" s="529"/>
      <c r="R553" s="529"/>
      <c r="S553" s="529"/>
      <c r="T553" s="529"/>
      <c r="U553" s="529"/>
      <c r="V553" s="530"/>
      <c r="W553" s="526"/>
      <c r="X553" s="531"/>
      <c r="Y553" s="531"/>
    </row>
    <row r="554" spans="1:25" ht="22.5" customHeight="1" x14ac:dyDescent="0.25">
      <c r="A554" s="526"/>
      <c r="B554" s="527"/>
      <c r="C554" s="527"/>
      <c r="D554" s="527"/>
      <c r="E554" s="527"/>
      <c r="F554" s="527"/>
      <c r="G554" s="527"/>
      <c r="H554" s="527"/>
      <c r="I554" s="527"/>
      <c r="J554" s="527"/>
      <c r="K554" s="528"/>
      <c r="L554" s="529"/>
      <c r="M554" s="529"/>
      <c r="N554" s="529"/>
      <c r="O554" s="529"/>
      <c r="P554" s="529"/>
      <c r="Q554" s="529"/>
      <c r="R554" s="529"/>
      <c r="S554" s="529"/>
      <c r="T554" s="529"/>
      <c r="U554" s="529"/>
      <c r="V554" s="530"/>
      <c r="W554" s="526"/>
      <c r="X554" s="531"/>
      <c r="Y554" s="531"/>
    </row>
    <row r="555" spans="1:25" ht="22.5" customHeight="1" x14ac:dyDescent="0.25">
      <c r="A555" s="526"/>
      <c r="B555" s="527"/>
      <c r="C555" s="527"/>
      <c r="D555" s="527"/>
      <c r="E555" s="527"/>
      <c r="F555" s="527"/>
      <c r="G555" s="527"/>
      <c r="H555" s="527"/>
      <c r="I555" s="527"/>
      <c r="J555" s="527"/>
      <c r="K555" s="528"/>
      <c r="L555" s="529"/>
      <c r="M555" s="529"/>
      <c r="N555" s="529"/>
      <c r="O555" s="529"/>
      <c r="P555" s="529"/>
      <c r="Q555" s="529"/>
      <c r="R555" s="529"/>
      <c r="S555" s="529"/>
      <c r="T555" s="529"/>
      <c r="U555" s="529"/>
      <c r="V555" s="530"/>
      <c r="W555" s="526"/>
      <c r="X555" s="531"/>
      <c r="Y555" s="531"/>
    </row>
    <row r="556" spans="1:25" ht="22.5" customHeight="1" x14ac:dyDescent="0.25">
      <c r="A556" s="526"/>
      <c r="B556" s="527"/>
      <c r="C556" s="527"/>
      <c r="D556" s="527"/>
      <c r="E556" s="527"/>
      <c r="F556" s="527"/>
      <c r="G556" s="527"/>
      <c r="H556" s="527"/>
      <c r="I556" s="527"/>
      <c r="J556" s="527"/>
      <c r="K556" s="528"/>
      <c r="L556" s="529"/>
      <c r="M556" s="529"/>
      <c r="N556" s="529"/>
      <c r="O556" s="529"/>
      <c r="P556" s="529"/>
      <c r="Q556" s="529"/>
      <c r="R556" s="529"/>
      <c r="S556" s="529"/>
      <c r="T556" s="529"/>
      <c r="U556" s="529"/>
      <c r="V556" s="530"/>
      <c r="W556" s="526"/>
      <c r="X556" s="531"/>
      <c r="Y556" s="531"/>
    </row>
    <row r="557" spans="1:25" ht="22.5" customHeight="1" x14ac:dyDescent="0.25">
      <c r="A557" s="526"/>
      <c r="B557" s="527"/>
      <c r="C557" s="527"/>
      <c r="D557" s="527"/>
      <c r="E557" s="527"/>
      <c r="F557" s="527"/>
      <c r="G557" s="527"/>
      <c r="H557" s="527"/>
      <c r="I557" s="527"/>
      <c r="J557" s="527"/>
      <c r="K557" s="528"/>
      <c r="L557" s="529"/>
      <c r="M557" s="529"/>
      <c r="N557" s="529"/>
      <c r="O557" s="529"/>
      <c r="P557" s="529"/>
      <c r="Q557" s="529"/>
      <c r="R557" s="529"/>
      <c r="S557" s="529"/>
      <c r="T557" s="529"/>
      <c r="U557" s="529"/>
      <c r="V557" s="530"/>
      <c r="W557" s="526"/>
      <c r="X557" s="531"/>
      <c r="Y557" s="531"/>
    </row>
    <row r="558" spans="1:25" ht="22.5" customHeight="1" x14ac:dyDescent="0.25">
      <c r="A558" s="526"/>
      <c r="B558" s="527"/>
      <c r="C558" s="527"/>
      <c r="D558" s="527"/>
      <c r="E558" s="527"/>
      <c r="F558" s="527"/>
      <c r="G558" s="527"/>
      <c r="H558" s="527"/>
      <c r="I558" s="527"/>
      <c r="J558" s="527"/>
      <c r="K558" s="528"/>
      <c r="L558" s="529"/>
      <c r="M558" s="529"/>
      <c r="N558" s="529"/>
      <c r="O558" s="529"/>
      <c r="P558" s="529"/>
      <c r="Q558" s="529"/>
      <c r="R558" s="529"/>
      <c r="S558" s="529"/>
      <c r="T558" s="529"/>
      <c r="U558" s="529"/>
      <c r="V558" s="530"/>
      <c r="W558" s="526"/>
      <c r="X558" s="531"/>
      <c r="Y558" s="531"/>
    </row>
    <row r="559" spans="1:25" ht="22.5" customHeight="1" x14ac:dyDescent="0.25">
      <c r="A559" s="526"/>
      <c r="B559" s="527"/>
      <c r="C559" s="527"/>
      <c r="D559" s="527"/>
      <c r="E559" s="527"/>
      <c r="F559" s="527"/>
      <c r="G559" s="527"/>
      <c r="H559" s="527"/>
      <c r="I559" s="527"/>
      <c r="J559" s="527"/>
      <c r="K559" s="528"/>
      <c r="L559" s="529"/>
      <c r="M559" s="529"/>
      <c r="N559" s="529"/>
      <c r="O559" s="529"/>
      <c r="P559" s="529"/>
      <c r="Q559" s="529"/>
      <c r="R559" s="529"/>
      <c r="S559" s="529"/>
      <c r="T559" s="529"/>
      <c r="U559" s="529"/>
      <c r="V559" s="530"/>
      <c r="W559" s="526"/>
      <c r="X559" s="531"/>
      <c r="Y559" s="531"/>
    </row>
    <row r="560" spans="1:25" ht="22.5" customHeight="1" x14ac:dyDescent="0.25">
      <c r="A560" s="526"/>
      <c r="B560" s="527"/>
      <c r="C560" s="527"/>
      <c r="D560" s="527"/>
      <c r="E560" s="527"/>
      <c r="F560" s="527"/>
      <c r="G560" s="527"/>
      <c r="H560" s="527"/>
      <c r="I560" s="527"/>
      <c r="J560" s="527"/>
      <c r="K560" s="528"/>
      <c r="L560" s="529"/>
      <c r="M560" s="529"/>
      <c r="N560" s="529"/>
      <c r="O560" s="529"/>
      <c r="P560" s="529"/>
      <c r="Q560" s="529"/>
      <c r="R560" s="529"/>
      <c r="S560" s="529"/>
      <c r="T560" s="529"/>
      <c r="U560" s="529"/>
      <c r="V560" s="530"/>
      <c r="W560" s="526"/>
      <c r="X560" s="531"/>
      <c r="Y560" s="531"/>
    </row>
    <row r="561" spans="1:25" ht="22.5" customHeight="1" x14ac:dyDescent="0.25">
      <c r="A561" s="526"/>
      <c r="B561" s="527"/>
      <c r="C561" s="527"/>
      <c r="D561" s="527"/>
      <c r="E561" s="527"/>
      <c r="F561" s="527"/>
      <c r="G561" s="527"/>
      <c r="H561" s="527"/>
      <c r="I561" s="527"/>
      <c r="J561" s="527"/>
      <c r="K561" s="528"/>
      <c r="L561" s="529"/>
      <c r="M561" s="529"/>
      <c r="N561" s="529"/>
      <c r="O561" s="529"/>
      <c r="P561" s="529"/>
      <c r="Q561" s="529"/>
      <c r="R561" s="529"/>
      <c r="S561" s="529"/>
      <c r="T561" s="529"/>
      <c r="U561" s="529"/>
      <c r="V561" s="530"/>
      <c r="W561" s="526"/>
      <c r="X561" s="531"/>
      <c r="Y561" s="531"/>
    </row>
    <row r="562" spans="1:25" ht="22.5" customHeight="1" x14ac:dyDescent="0.25">
      <c r="A562" s="526"/>
      <c r="B562" s="527"/>
      <c r="C562" s="527"/>
      <c r="D562" s="527"/>
      <c r="E562" s="527"/>
      <c r="F562" s="527"/>
      <c r="G562" s="527"/>
      <c r="H562" s="527"/>
      <c r="I562" s="527"/>
      <c r="J562" s="527"/>
      <c r="K562" s="528"/>
      <c r="L562" s="529"/>
      <c r="M562" s="529"/>
      <c r="N562" s="529"/>
      <c r="O562" s="529"/>
      <c r="P562" s="529"/>
      <c r="Q562" s="529"/>
      <c r="R562" s="529"/>
      <c r="S562" s="529"/>
      <c r="T562" s="529"/>
      <c r="U562" s="529"/>
      <c r="V562" s="530"/>
      <c r="W562" s="526"/>
      <c r="X562" s="531"/>
      <c r="Y562" s="531"/>
    </row>
    <row r="563" spans="1:25" ht="22.5" customHeight="1" x14ac:dyDescent="0.25">
      <c r="A563" s="526"/>
      <c r="B563" s="527"/>
      <c r="C563" s="527"/>
      <c r="D563" s="527"/>
      <c r="E563" s="527"/>
      <c r="F563" s="527"/>
      <c r="G563" s="527"/>
      <c r="H563" s="527"/>
      <c r="I563" s="527"/>
      <c r="J563" s="527"/>
      <c r="K563" s="528"/>
      <c r="L563" s="529"/>
      <c r="M563" s="529"/>
      <c r="N563" s="529"/>
      <c r="O563" s="529"/>
      <c r="P563" s="529"/>
      <c r="Q563" s="529"/>
      <c r="R563" s="529"/>
      <c r="S563" s="529"/>
      <c r="T563" s="529"/>
      <c r="U563" s="529"/>
      <c r="V563" s="530"/>
      <c r="W563" s="526"/>
      <c r="X563" s="531"/>
      <c r="Y563" s="531"/>
    </row>
    <row r="564" spans="1:25" ht="22.5" customHeight="1" x14ac:dyDescent="0.25">
      <c r="A564" s="526"/>
      <c r="B564" s="527"/>
      <c r="C564" s="527"/>
      <c r="D564" s="527"/>
      <c r="E564" s="527"/>
      <c r="F564" s="527"/>
      <c r="G564" s="527"/>
      <c r="H564" s="527"/>
      <c r="I564" s="527"/>
      <c r="J564" s="527"/>
      <c r="K564" s="528"/>
      <c r="L564" s="529"/>
      <c r="M564" s="529"/>
      <c r="N564" s="529"/>
      <c r="O564" s="529"/>
      <c r="P564" s="529"/>
      <c r="Q564" s="529"/>
      <c r="R564" s="529"/>
      <c r="S564" s="529"/>
      <c r="T564" s="529"/>
      <c r="U564" s="529"/>
      <c r="V564" s="530"/>
      <c r="W564" s="526"/>
      <c r="X564" s="531"/>
      <c r="Y564" s="531"/>
    </row>
    <row r="565" spans="1:25" ht="22.5" customHeight="1" x14ac:dyDescent="0.25">
      <c r="A565" s="526"/>
      <c r="B565" s="527"/>
      <c r="C565" s="527"/>
      <c r="D565" s="527"/>
      <c r="E565" s="527"/>
      <c r="F565" s="527"/>
      <c r="G565" s="527"/>
      <c r="H565" s="527"/>
      <c r="I565" s="527"/>
      <c r="J565" s="527"/>
      <c r="K565" s="528"/>
      <c r="L565" s="529"/>
      <c r="M565" s="529"/>
      <c r="N565" s="529"/>
      <c r="O565" s="529"/>
      <c r="P565" s="529"/>
      <c r="Q565" s="529"/>
      <c r="R565" s="529"/>
      <c r="S565" s="529"/>
      <c r="T565" s="529"/>
      <c r="U565" s="529"/>
      <c r="V565" s="530"/>
      <c r="W565" s="526"/>
      <c r="X565" s="531"/>
      <c r="Y565" s="531"/>
    </row>
    <row r="566" spans="1:25" s="174" customFormat="1" ht="22.5" customHeight="1" x14ac:dyDescent="0.25">
      <c r="A566" s="526"/>
      <c r="B566" s="527"/>
      <c r="C566" s="527"/>
      <c r="D566" s="527"/>
      <c r="E566" s="527"/>
      <c r="F566" s="527"/>
      <c r="G566" s="527"/>
      <c r="H566" s="532"/>
      <c r="I566" s="532"/>
      <c r="J566" s="532"/>
      <c r="K566" s="533"/>
      <c r="L566" s="534"/>
      <c r="M566" s="534"/>
      <c r="N566" s="534"/>
      <c r="O566" s="534"/>
      <c r="P566" s="534"/>
      <c r="Q566" s="534"/>
      <c r="R566" s="534"/>
      <c r="S566" s="534"/>
      <c r="T566" s="534"/>
      <c r="U566" s="534"/>
      <c r="V566" s="535"/>
      <c r="W566" s="536"/>
      <c r="X566" s="531"/>
      <c r="Y566" s="531"/>
    </row>
    <row r="567" spans="1:25" s="174" customFormat="1" ht="22.5" customHeight="1" x14ac:dyDescent="0.25">
      <c r="A567" s="526"/>
      <c r="B567" s="527"/>
      <c r="C567" s="527"/>
      <c r="D567" s="527"/>
      <c r="E567" s="527"/>
      <c r="F567" s="527"/>
      <c r="G567" s="527"/>
      <c r="H567" s="532"/>
      <c r="I567" s="532"/>
      <c r="J567" s="532"/>
      <c r="K567" s="533"/>
      <c r="L567" s="534"/>
      <c r="M567" s="534"/>
      <c r="N567" s="534"/>
      <c r="O567" s="534"/>
      <c r="P567" s="534"/>
      <c r="Q567" s="534"/>
      <c r="R567" s="534"/>
      <c r="S567" s="534"/>
      <c r="T567" s="534"/>
      <c r="U567" s="534"/>
      <c r="V567" s="535"/>
      <c r="W567" s="536"/>
      <c r="X567" s="531"/>
      <c r="Y567" s="531"/>
    </row>
    <row r="568" spans="1:25" ht="22.5" customHeight="1" x14ac:dyDescent="0.25">
      <c r="A568" s="526"/>
      <c r="B568" s="527"/>
      <c r="C568" s="527"/>
      <c r="D568" s="527"/>
      <c r="E568" s="527"/>
      <c r="F568" s="527"/>
      <c r="G568" s="527"/>
      <c r="H568" s="527"/>
      <c r="I568" s="527"/>
      <c r="J568" s="527"/>
      <c r="K568" s="528"/>
      <c r="L568" s="529"/>
      <c r="M568" s="529"/>
      <c r="N568" s="529"/>
      <c r="O568" s="529"/>
      <c r="P568" s="529"/>
      <c r="Q568" s="529"/>
      <c r="R568" s="529"/>
      <c r="S568" s="529"/>
      <c r="T568" s="529"/>
      <c r="U568" s="529"/>
      <c r="V568" s="530"/>
      <c r="W568" s="526"/>
      <c r="X568" s="531"/>
      <c r="Y568" s="531"/>
    </row>
    <row r="569" spans="1:25" ht="22.5" customHeight="1" x14ac:dyDescent="0.25">
      <c r="A569" s="526"/>
      <c r="B569" s="527"/>
      <c r="C569" s="527"/>
      <c r="D569" s="527"/>
      <c r="E569" s="527"/>
      <c r="F569" s="527"/>
      <c r="G569" s="527"/>
      <c r="H569" s="527"/>
      <c r="I569" s="527"/>
      <c r="J569" s="527"/>
      <c r="K569" s="528"/>
      <c r="L569" s="529"/>
      <c r="M569" s="529"/>
      <c r="N569" s="529"/>
      <c r="O569" s="529"/>
      <c r="P569" s="529"/>
      <c r="Q569" s="529"/>
      <c r="R569" s="529"/>
      <c r="S569" s="529"/>
      <c r="T569" s="529"/>
      <c r="U569" s="529"/>
      <c r="V569" s="530"/>
      <c r="W569" s="526"/>
      <c r="X569" s="531"/>
      <c r="Y569" s="531"/>
    </row>
    <row r="570" spans="1:25" ht="22.5" customHeight="1" x14ac:dyDescent="0.25">
      <c r="A570" s="526"/>
      <c r="B570" s="527"/>
      <c r="C570" s="527"/>
      <c r="D570" s="527"/>
      <c r="E570" s="527"/>
      <c r="F570" s="527"/>
      <c r="G570" s="527"/>
      <c r="H570" s="527"/>
      <c r="I570" s="527"/>
      <c r="J570" s="527"/>
      <c r="K570" s="528"/>
      <c r="L570" s="529"/>
      <c r="M570" s="529"/>
      <c r="N570" s="529"/>
      <c r="O570" s="529"/>
      <c r="P570" s="529"/>
      <c r="Q570" s="529"/>
      <c r="R570" s="529"/>
      <c r="S570" s="529"/>
      <c r="T570" s="529"/>
      <c r="U570" s="529"/>
      <c r="V570" s="530"/>
      <c r="W570" s="526"/>
      <c r="X570" s="531"/>
      <c r="Y570" s="531"/>
    </row>
    <row r="571" spans="1:25" ht="22.5" customHeight="1" x14ac:dyDescent="0.25">
      <c r="A571" s="526"/>
      <c r="B571" s="527"/>
      <c r="C571" s="527"/>
      <c r="D571" s="527"/>
      <c r="E571" s="527"/>
      <c r="F571" s="527"/>
      <c r="G571" s="527"/>
      <c r="H571" s="527"/>
      <c r="I571" s="527"/>
      <c r="J571" s="527"/>
      <c r="K571" s="528"/>
      <c r="L571" s="529"/>
      <c r="M571" s="529"/>
      <c r="N571" s="529"/>
      <c r="O571" s="529"/>
      <c r="P571" s="529"/>
      <c r="Q571" s="529"/>
      <c r="R571" s="529"/>
      <c r="S571" s="529"/>
      <c r="T571" s="529"/>
      <c r="U571" s="529"/>
      <c r="V571" s="530"/>
      <c r="W571" s="526"/>
      <c r="X571" s="531"/>
      <c r="Y571" s="531"/>
    </row>
    <row r="572" spans="1:25" ht="22.5" customHeight="1" x14ac:dyDescent="0.25">
      <c r="A572" s="526"/>
      <c r="B572" s="527"/>
      <c r="C572" s="527"/>
      <c r="D572" s="527"/>
      <c r="E572" s="527"/>
      <c r="F572" s="527"/>
      <c r="G572" s="527"/>
      <c r="H572" s="527"/>
      <c r="I572" s="527"/>
      <c r="J572" s="527"/>
      <c r="K572" s="528"/>
      <c r="L572" s="529"/>
      <c r="M572" s="529"/>
      <c r="N572" s="529"/>
      <c r="O572" s="529"/>
      <c r="P572" s="529"/>
      <c r="Q572" s="529"/>
      <c r="R572" s="529"/>
      <c r="S572" s="529"/>
      <c r="T572" s="529"/>
      <c r="U572" s="529"/>
      <c r="V572" s="530"/>
      <c r="W572" s="526"/>
      <c r="X572" s="531"/>
      <c r="Y572" s="531"/>
    </row>
    <row r="573" spans="1:25" ht="22.5" customHeight="1" x14ac:dyDescent="0.25">
      <c r="A573" s="526"/>
      <c r="B573" s="527"/>
      <c r="C573" s="527"/>
      <c r="D573" s="527"/>
      <c r="E573" s="527"/>
      <c r="F573" s="527"/>
      <c r="G573" s="527"/>
      <c r="H573" s="527"/>
      <c r="I573" s="527"/>
      <c r="J573" s="527"/>
      <c r="K573" s="528"/>
      <c r="L573" s="529"/>
      <c r="M573" s="529"/>
      <c r="N573" s="529"/>
      <c r="O573" s="529"/>
      <c r="P573" s="529"/>
      <c r="Q573" s="529"/>
      <c r="R573" s="529"/>
      <c r="S573" s="529"/>
      <c r="T573" s="529"/>
      <c r="U573" s="529"/>
      <c r="V573" s="530"/>
      <c r="W573" s="526"/>
      <c r="X573" s="531"/>
      <c r="Y573" s="531"/>
    </row>
    <row r="574" spans="1:25" ht="22.5" customHeight="1" x14ac:dyDescent="0.25">
      <c r="A574" s="526"/>
      <c r="B574" s="527"/>
      <c r="C574" s="527"/>
      <c r="D574" s="527"/>
      <c r="E574" s="527"/>
      <c r="F574" s="527"/>
      <c r="G574" s="527"/>
      <c r="H574" s="527"/>
      <c r="I574" s="527"/>
      <c r="J574" s="527"/>
      <c r="K574" s="528"/>
      <c r="L574" s="529"/>
      <c r="M574" s="529"/>
      <c r="N574" s="529"/>
      <c r="O574" s="529"/>
      <c r="P574" s="529"/>
      <c r="Q574" s="529"/>
      <c r="R574" s="529"/>
      <c r="S574" s="529"/>
      <c r="T574" s="529"/>
      <c r="U574" s="529"/>
      <c r="V574" s="530"/>
      <c r="W574" s="526"/>
      <c r="X574" s="531"/>
      <c r="Y574" s="531"/>
    </row>
    <row r="575" spans="1:25" ht="22.5" customHeight="1" x14ac:dyDescent="0.25">
      <c r="A575" s="526"/>
      <c r="B575" s="527"/>
      <c r="C575" s="527"/>
      <c r="D575" s="527"/>
      <c r="E575" s="527"/>
      <c r="F575" s="527"/>
      <c r="G575" s="527"/>
      <c r="H575" s="527"/>
      <c r="I575" s="527"/>
      <c r="J575" s="527"/>
      <c r="K575" s="528"/>
      <c r="L575" s="529"/>
      <c r="M575" s="529"/>
      <c r="N575" s="529"/>
      <c r="O575" s="529"/>
      <c r="P575" s="529"/>
      <c r="Q575" s="529"/>
      <c r="R575" s="529"/>
      <c r="S575" s="529"/>
      <c r="T575" s="529"/>
      <c r="U575" s="529"/>
      <c r="V575" s="530"/>
      <c r="W575" s="526"/>
      <c r="X575" s="531"/>
      <c r="Y575" s="531"/>
    </row>
    <row r="576" spans="1:25" ht="22.5" customHeight="1" x14ac:dyDescent="0.25">
      <c r="A576" s="526"/>
      <c r="B576" s="527"/>
      <c r="C576" s="527"/>
      <c r="D576" s="527"/>
      <c r="E576" s="527"/>
      <c r="F576" s="527"/>
      <c r="G576" s="527"/>
      <c r="H576" s="527"/>
      <c r="I576" s="527"/>
      <c r="J576" s="527"/>
      <c r="K576" s="528"/>
      <c r="L576" s="529"/>
      <c r="M576" s="529"/>
      <c r="N576" s="529"/>
      <c r="O576" s="529"/>
      <c r="P576" s="529"/>
      <c r="Q576" s="529"/>
      <c r="R576" s="529"/>
      <c r="S576" s="529"/>
      <c r="T576" s="529"/>
      <c r="U576" s="529"/>
      <c r="V576" s="530"/>
      <c r="W576" s="526"/>
      <c r="X576" s="531"/>
      <c r="Y576" s="531"/>
    </row>
    <row r="577" spans="1:25" ht="22.5" customHeight="1" x14ac:dyDescent="0.25">
      <c r="A577" s="526"/>
      <c r="B577" s="527"/>
      <c r="C577" s="527"/>
      <c r="D577" s="527"/>
      <c r="E577" s="527"/>
      <c r="F577" s="527"/>
      <c r="G577" s="527"/>
      <c r="H577" s="527"/>
      <c r="I577" s="527"/>
      <c r="J577" s="527"/>
      <c r="K577" s="528"/>
      <c r="L577" s="529"/>
      <c r="M577" s="529"/>
      <c r="N577" s="529"/>
      <c r="O577" s="529"/>
      <c r="P577" s="529"/>
      <c r="Q577" s="529"/>
      <c r="R577" s="529"/>
      <c r="S577" s="529"/>
      <c r="T577" s="529"/>
      <c r="U577" s="529"/>
      <c r="V577" s="530"/>
      <c r="W577" s="526"/>
      <c r="X577" s="531"/>
      <c r="Y577" s="531"/>
    </row>
    <row r="578" spans="1:25" ht="22.5" customHeight="1" x14ac:dyDescent="0.25">
      <c r="A578" s="526"/>
      <c r="B578" s="527"/>
      <c r="C578" s="527"/>
      <c r="D578" s="527"/>
      <c r="E578" s="527"/>
      <c r="F578" s="527"/>
      <c r="G578" s="527"/>
      <c r="H578" s="527"/>
      <c r="I578" s="527"/>
      <c r="J578" s="527"/>
      <c r="K578" s="528"/>
      <c r="L578" s="529"/>
      <c r="M578" s="529"/>
      <c r="N578" s="529"/>
      <c r="O578" s="529"/>
      <c r="P578" s="529"/>
      <c r="Q578" s="529"/>
      <c r="R578" s="529"/>
      <c r="S578" s="529"/>
      <c r="T578" s="529"/>
      <c r="U578" s="529"/>
      <c r="V578" s="530"/>
      <c r="W578" s="526"/>
      <c r="X578" s="531"/>
      <c r="Y578" s="531"/>
    </row>
    <row r="579" spans="1:25" ht="22.5" customHeight="1" x14ac:dyDescent="0.25">
      <c r="A579" s="526"/>
      <c r="B579" s="527"/>
      <c r="C579" s="527"/>
      <c r="D579" s="527"/>
      <c r="E579" s="527"/>
      <c r="F579" s="527"/>
      <c r="G579" s="527"/>
      <c r="H579" s="527"/>
      <c r="I579" s="527"/>
      <c r="J579" s="527"/>
      <c r="K579" s="528"/>
      <c r="L579" s="529"/>
      <c r="M579" s="529"/>
      <c r="N579" s="529"/>
      <c r="O579" s="529"/>
      <c r="P579" s="529"/>
      <c r="Q579" s="529"/>
      <c r="R579" s="529"/>
      <c r="S579" s="529"/>
      <c r="T579" s="529"/>
      <c r="U579" s="529"/>
      <c r="V579" s="530"/>
      <c r="W579" s="526"/>
      <c r="X579" s="531"/>
      <c r="Y579" s="531"/>
    </row>
    <row r="580" spans="1:25" s="174" customFormat="1" ht="22.5" customHeight="1" x14ac:dyDescent="0.25">
      <c r="A580" s="526"/>
      <c r="B580" s="527"/>
      <c r="C580" s="527"/>
      <c r="D580" s="527"/>
      <c r="E580" s="527"/>
      <c r="F580" s="527"/>
      <c r="G580" s="527"/>
      <c r="H580" s="532"/>
      <c r="I580" s="532"/>
      <c r="J580" s="532"/>
      <c r="K580" s="533"/>
      <c r="L580" s="534"/>
      <c r="M580" s="534"/>
      <c r="N580" s="534"/>
      <c r="O580" s="534"/>
      <c r="P580" s="534"/>
      <c r="Q580" s="534"/>
      <c r="R580" s="534"/>
      <c r="S580" s="534"/>
      <c r="T580" s="534"/>
      <c r="U580" s="534"/>
      <c r="V580" s="535"/>
      <c r="W580" s="536"/>
      <c r="X580" s="531"/>
      <c r="Y580" s="531"/>
    </row>
    <row r="581" spans="1:25" s="174" customFormat="1" ht="22.5" customHeight="1" x14ac:dyDescent="0.25">
      <c r="A581" s="526"/>
      <c r="B581" s="527"/>
      <c r="C581" s="527"/>
      <c r="D581" s="527"/>
      <c r="E581" s="527"/>
      <c r="F581" s="527"/>
      <c r="G581" s="527"/>
      <c r="H581" s="527"/>
      <c r="I581" s="527"/>
      <c r="J581" s="527"/>
      <c r="K581" s="528"/>
      <c r="L581" s="537"/>
      <c r="M581" s="537"/>
      <c r="N581" s="537"/>
      <c r="O581" s="537"/>
      <c r="P581" s="537"/>
      <c r="Q581" s="537"/>
      <c r="R581" s="537"/>
      <c r="S581" s="537"/>
      <c r="T581" s="537"/>
      <c r="U581" s="537"/>
      <c r="V581" s="535"/>
      <c r="W581" s="532"/>
      <c r="X581" s="531"/>
      <c r="Y581" s="531"/>
    </row>
    <row r="582" spans="1:25" ht="22.5" customHeight="1" x14ac:dyDescent="0.25">
      <c r="A582" s="526"/>
      <c r="B582" s="527"/>
      <c r="C582" s="527"/>
      <c r="D582" s="527"/>
      <c r="E582" s="527"/>
      <c r="F582" s="527"/>
      <c r="G582" s="527"/>
      <c r="H582" s="527"/>
      <c r="I582" s="527"/>
      <c r="J582" s="527"/>
      <c r="K582" s="528"/>
      <c r="L582" s="537"/>
      <c r="M582" s="537"/>
      <c r="N582" s="537"/>
      <c r="O582" s="537"/>
      <c r="P582" s="537"/>
      <c r="Q582" s="537"/>
      <c r="R582" s="537"/>
      <c r="S582" s="537"/>
      <c r="T582" s="537"/>
      <c r="U582" s="537"/>
      <c r="V582" s="535"/>
      <c r="W582" s="532"/>
      <c r="X582" s="531"/>
      <c r="Y582" s="531"/>
    </row>
    <row r="583" spans="1:25" ht="22.5" customHeight="1" x14ac:dyDescent="0.25">
      <c r="A583" s="526"/>
      <c r="B583" s="527"/>
      <c r="C583" s="527"/>
      <c r="D583" s="527"/>
      <c r="E583" s="527"/>
      <c r="F583" s="527"/>
      <c r="G583" s="527"/>
      <c r="H583" s="527"/>
      <c r="I583" s="527"/>
      <c r="J583" s="527"/>
      <c r="K583" s="528"/>
      <c r="L583" s="537"/>
      <c r="M583" s="537"/>
      <c r="N583" s="537"/>
      <c r="O583" s="537"/>
      <c r="P583" s="537"/>
      <c r="Q583" s="537"/>
      <c r="R583" s="537"/>
      <c r="S583" s="537"/>
      <c r="T583" s="537"/>
      <c r="U583" s="537"/>
      <c r="V583" s="535"/>
      <c r="W583" s="532"/>
      <c r="X583" s="531"/>
      <c r="Y583" s="531"/>
    </row>
    <row r="584" spans="1:25" ht="22.5" customHeight="1" x14ac:dyDescent="0.25">
      <c r="A584" s="526"/>
      <c r="B584" s="527"/>
      <c r="C584" s="527"/>
      <c r="D584" s="527"/>
      <c r="E584" s="527"/>
      <c r="F584" s="527"/>
      <c r="G584" s="527"/>
      <c r="H584" s="527"/>
      <c r="I584" s="527"/>
      <c r="J584" s="527"/>
      <c r="K584" s="528"/>
      <c r="L584" s="537"/>
      <c r="M584" s="537"/>
      <c r="N584" s="537"/>
      <c r="O584" s="537"/>
      <c r="P584" s="537"/>
      <c r="Q584" s="537"/>
      <c r="R584" s="537"/>
      <c r="S584" s="537"/>
      <c r="T584" s="537"/>
      <c r="U584" s="537"/>
      <c r="V584" s="535"/>
      <c r="W584" s="532"/>
      <c r="X584" s="531"/>
      <c r="Y584" s="531"/>
    </row>
    <row r="585" spans="1:25" ht="22.5" customHeight="1" x14ac:dyDescent="0.25">
      <c r="A585" s="526"/>
      <c r="B585" s="527"/>
      <c r="C585" s="527"/>
      <c r="D585" s="527"/>
      <c r="E585" s="527"/>
      <c r="F585" s="527"/>
      <c r="G585" s="527"/>
      <c r="H585" s="527"/>
      <c r="I585" s="527"/>
      <c r="J585" s="527"/>
      <c r="K585" s="528"/>
      <c r="L585" s="537"/>
      <c r="M585" s="537"/>
      <c r="N585" s="537"/>
      <c r="O585" s="537"/>
      <c r="P585" s="537"/>
      <c r="Q585" s="537"/>
      <c r="R585" s="537"/>
      <c r="S585" s="537"/>
      <c r="T585" s="537"/>
      <c r="U585" s="537"/>
      <c r="V585" s="535"/>
      <c r="W585" s="532"/>
      <c r="X585" s="531"/>
      <c r="Y585" s="531"/>
    </row>
    <row r="586" spans="1:25" ht="22.5" customHeight="1" x14ac:dyDescent="0.25">
      <c r="A586" s="526"/>
      <c r="B586" s="527"/>
      <c r="C586" s="527"/>
      <c r="D586" s="527"/>
      <c r="E586" s="527"/>
      <c r="F586" s="527"/>
      <c r="G586" s="527"/>
      <c r="H586" s="527"/>
      <c r="I586" s="527"/>
      <c r="J586" s="527"/>
      <c r="K586" s="528"/>
      <c r="L586" s="537"/>
      <c r="M586" s="537"/>
      <c r="N586" s="537"/>
      <c r="O586" s="537"/>
      <c r="P586" s="537"/>
      <c r="Q586" s="537"/>
      <c r="R586" s="537"/>
      <c r="S586" s="537"/>
      <c r="T586" s="537"/>
      <c r="U586" s="537"/>
      <c r="V586" s="535"/>
      <c r="W586" s="532"/>
      <c r="X586" s="531"/>
      <c r="Y586" s="531"/>
    </row>
    <row r="587" spans="1:25" ht="22.5" customHeight="1" x14ac:dyDescent="0.25">
      <c r="A587" s="526"/>
      <c r="B587" s="527"/>
      <c r="C587" s="527"/>
      <c r="D587" s="527"/>
      <c r="E587" s="527"/>
      <c r="F587" s="527"/>
      <c r="G587" s="527"/>
      <c r="H587" s="527"/>
      <c r="I587" s="527"/>
      <c r="J587" s="527"/>
      <c r="K587" s="528"/>
      <c r="L587" s="537"/>
      <c r="M587" s="537"/>
      <c r="N587" s="537"/>
      <c r="O587" s="537"/>
      <c r="P587" s="537"/>
      <c r="Q587" s="537"/>
      <c r="R587" s="537"/>
      <c r="S587" s="537"/>
      <c r="T587" s="537"/>
      <c r="U587" s="537"/>
      <c r="V587" s="535"/>
      <c r="W587" s="532"/>
      <c r="X587" s="531"/>
      <c r="Y587" s="531"/>
    </row>
    <row r="588" spans="1:25" ht="22.5" customHeight="1" x14ac:dyDescent="0.25">
      <c r="A588" s="526"/>
      <c r="B588" s="527"/>
      <c r="C588" s="527"/>
      <c r="D588" s="527"/>
      <c r="E588" s="527"/>
      <c r="F588" s="527"/>
      <c r="G588" s="527"/>
      <c r="H588" s="527"/>
      <c r="I588" s="527"/>
      <c r="J588" s="527"/>
      <c r="K588" s="528"/>
      <c r="L588" s="537"/>
      <c r="M588" s="537"/>
      <c r="N588" s="537"/>
      <c r="O588" s="537"/>
      <c r="P588" s="537"/>
      <c r="Q588" s="537"/>
      <c r="R588" s="537"/>
      <c r="S588" s="537"/>
      <c r="T588" s="537"/>
      <c r="U588" s="537"/>
      <c r="V588" s="535"/>
      <c r="W588" s="532"/>
      <c r="X588" s="531"/>
      <c r="Y588" s="531"/>
    </row>
    <row r="589" spans="1:25" ht="22.5" customHeight="1" x14ac:dyDescent="0.25">
      <c r="A589" s="526"/>
      <c r="B589" s="527"/>
      <c r="C589" s="527"/>
      <c r="D589" s="527"/>
      <c r="E589" s="527"/>
      <c r="F589" s="527"/>
      <c r="G589" s="527"/>
      <c r="H589" s="527"/>
      <c r="I589" s="527"/>
      <c r="J589" s="527"/>
      <c r="K589" s="528"/>
      <c r="L589" s="537"/>
      <c r="M589" s="537"/>
      <c r="N589" s="537"/>
      <c r="O589" s="537"/>
      <c r="P589" s="537"/>
      <c r="Q589" s="537"/>
      <c r="R589" s="537"/>
      <c r="S589" s="537"/>
      <c r="T589" s="537"/>
      <c r="U589" s="537"/>
      <c r="V589" s="535"/>
      <c r="W589" s="532"/>
      <c r="X589" s="531"/>
      <c r="Y589" s="531"/>
    </row>
    <row r="590" spans="1:25" ht="22.5" customHeight="1" x14ac:dyDescent="0.25">
      <c r="A590" s="526"/>
      <c r="B590" s="527"/>
      <c r="C590" s="527"/>
      <c r="D590" s="527"/>
      <c r="E590" s="527"/>
      <c r="F590" s="527"/>
      <c r="G590" s="527"/>
      <c r="H590" s="527"/>
      <c r="I590" s="527"/>
      <c r="J590" s="527"/>
      <c r="K590" s="528"/>
      <c r="L590" s="537"/>
      <c r="M590" s="537"/>
      <c r="N590" s="537"/>
      <c r="O590" s="537"/>
      <c r="P590" s="537"/>
      <c r="Q590" s="537"/>
      <c r="R590" s="537"/>
      <c r="S590" s="537"/>
      <c r="T590" s="537"/>
      <c r="U590" s="537"/>
      <c r="V590" s="535"/>
      <c r="W590" s="532"/>
      <c r="X590" s="531"/>
      <c r="Y590" s="531"/>
    </row>
    <row r="591" spans="1:25" ht="22.5" customHeight="1" x14ac:dyDescent="0.25">
      <c r="A591" s="526"/>
      <c r="B591" s="527"/>
      <c r="C591" s="527"/>
      <c r="D591" s="527"/>
      <c r="E591" s="527"/>
      <c r="F591" s="527"/>
      <c r="G591" s="527"/>
      <c r="H591" s="527"/>
      <c r="I591" s="527"/>
      <c r="J591" s="527"/>
      <c r="K591" s="528"/>
      <c r="L591" s="537"/>
      <c r="M591" s="537"/>
      <c r="N591" s="537"/>
      <c r="O591" s="537"/>
      <c r="P591" s="537"/>
      <c r="Q591" s="537"/>
      <c r="R591" s="537"/>
      <c r="S591" s="537"/>
      <c r="T591" s="537"/>
      <c r="U591" s="537"/>
      <c r="V591" s="535"/>
      <c r="W591" s="532"/>
      <c r="X591" s="531"/>
      <c r="Y591" s="531"/>
    </row>
    <row r="592" spans="1:25" ht="22.5" customHeight="1" x14ac:dyDescent="0.25">
      <c r="A592" s="526"/>
      <c r="B592" s="527"/>
      <c r="C592" s="527"/>
      <c r="D592" s="527"/>
      <c r="E592" s="527"/>
      <c r="F592" s="527"/>
      <c r="G592" s="527"/>
      <c r="H592" s="527"/>
      <c r="I592" s="527"/>
      <c r="J592" s="527"/>
      <c r="K592" s="528"/>
      <c r="L592" s="537"/>
      <c r="M592" s="537"/>
      <c r="N592" s="537"/>
      <c r="O592" s="537"/>
      <c r="P592" s="537"/>
      <c r="Q592" s="537"/>
      <c r="R592" s="537"/>
      <c r="S592" s="537"/>
      <c r="T592" s="537"/>
      <c r="U592" s="537"/>
      <c r="V592" s="535"/>
      <c r="W592" s="532"/>
      <c r="X592" s="531"/>
      <c r="Y592" s="531"/>
    </row>
    <row r="593" spans="1:25" ht="22.5" customHeight="1" x14ac:dyDescent="0.25">
      <c r="A593" s="526"/>
      <c r="B593" s="527"/>
      <c r="C593" s="527"/>
      <c r="D593" s="527"/>
      <c r="E593" s="527"/>
      <c r="F593" s="527"/>
      <c r="G593" s="527"/>
      <c r="H593" s="527"/>
      <c r="I593" s="527"/>
      <c r="J593" s="527"/>
      <c r="K593" s="528"/>
      <c r="L593" s="537"/>
      <c r="M593" s="537"/>
      <c r="N593" s="537"/>
      <c r="O593" s="537"/>
      <c r="P593" s="537"/>
      <c r="Q593" s="537"/>
      <c r="R593" s="537"/>
      <c r="S593" s="537"/>
      <c r="T593" s="537"/>
      <c r="U593" s="537"/>
      <c r="V593" s="535"/>
      <c r="W593" s="532"/>
      <c r="X593" s="531"/>
      <c r="Y593" s="531"/>
    </row>
    <row r="594" spans="1:25" ht="22.5" customHeight="1" x14ac:dyDescent="0.25">
      <c r="A594" s="526"/>
      <c r="B594" s="527"/>
      <c r="C594" s="527"/>
      <c r="D594" s="527"/>
      <c r="E594" s="527"/>
      <c r="F594" s="527"/>
      <c r="G594" s="527"/>
      <c r="H594" s="527"/>
      <c r="I594" s="527"/>
      <c r="J594" s="527"/>
      <c r="K594" s="528"/>
      <c r="L594" s="538"/>
      <c r="M594" s="538"/>
      <c r="N594" s="538"/>
      <c r="O594" s="538"/>
      <c r="P594" s="538"/>
      <c r="Q594" s="538"/>
      <c r="R594" s="538"/>
      <c r="S594" s="538"/>
      <c r="T594" s="538"/>
      <c r="U594" s="538"/>
      <c r="V594" s="530"/>
      <c r="W594" s="532"/>
      <c r="X594" s="531"/>
      <c r="Y594" s="531"/>
    </row>
    <row r="595" spans="1:25" ht="22.5" customHeight="1" x14ac:dyDescent="0.25">
      <c r="A595" s="526"/>
      <c r="B595" s="527"/>
      <c r="C595" s="527"/>
      <c r="D595" s="527"/>
      <c r="E595" s="527"/>
      <c r="F595" s="527"/>
      <c r="G595" s="527"/>
      <c r="H595" s="527"/>
      <c r="I595" s="527"/>
      <c r="J595" s="527"/>
      <c r="K595" s="528"/>
      <c r="L595" s="538"/>
      <c r="M595" s="538"/>
      <c r="N595" s="538"/>
      <c r="O595" s="538"/>
      <c r="P595" s="538"/>
      <c r="Q595" s="538"/>
      <c r="R595" s="538"/>
      <c r="S595" s="538"/>
      <c r="T595" s="538"/>
      <c r="U595" s="538"/>
      <c r="V595" s="530"/>
      <c r="W595" s="532"/>
      <c r="X595" s="531"/>
      <c r="Y595" s="531"/>
    </row>
    <row r="596" spans="1:25" ht="22.5" customHeight="1" x14ac:dyDescent="0.25">
      <c r="A596" s="526"/>
      <c r="B596" s="527"/>
      <c r="C596" s="527"/>
      <c r="D596" s="527"/>
      <c r="E596" s="527"/>
      <c r="F596" s="527"/>
      <c r="G596" s="527"/>
      <c r="H596" s="527"/>
      <c r="I596" s="527"/>
      <c r="J596" s="527"/>
      <c r="K596" s="528"/>
      <c r="L596" s="538"/>
      <c r="M596" s="538"/>
      <c r="N596" s="538"/>
      <c r="O596" s="538"/>
      <c r="P596" s="538"/>
      <c r="Q596" s="538"/>
      <c r="R596" s="538"/>
      <c r="S596" s="538"/>
      <c r="T596" s="538"/>
      <c r="U596" s="538"/>
      <c r="V596" s="530"/>
      <c r="W596" s="532"/>
      <c r="X596" s="531"/>
      <c r="Y596" s="531"/>
    </row>
    <row r="597" spans="1:25" ht="22.5" customHeight="1" x14ac:dyDescent="0.25">
      <c r="A597" s="526"/>
      <c r="B597" s="527"/>
      <c r="C597" s="527"/>
      <c r="D597" s="527"/>
      <c r="E597" s="527"/>
      <c r="F597" s="527"/>
      <c r="G597" s="527"/>
      <c r="H597" s="527"/>
      <c r="I597" s="527"/>
      <c r="J597" s="527"/>
      <c r="K597" s="528"/>
      <c r="L597" s="538"/>
      <c r="M597" s="538"/>
      <c r="N597" s="538"/>
      <c r="O597" s="538"/>
      <c r="P597" s="538"/>
      <c r="Q597" s="538"/>
      <c r="R597" s="538"/>
      <c r="S597" s="538"/>
      <c r="T597" s="538"/>
      <c r="U597" s="538"/>
      <c r="V597" s="530"/>
      <c r="W597" s="532"/>
      <c r="X597" s="531"/>
      <c r="Y597" s="531"/>
    </row>
    <row r="598" spans="1:25" ht="22.5" customHeight="1" x14ac:dyDescent="0.25">
      <c r="A598" s="526"/>
      <c r="B598" s="527"/>
      <c r="C598" s="527"/>
      <c r="D598" s="527"/>
      <c r="E598" s="527"/>
      <c r="F598" s="527"/>
      <c r="G598" s="527"/>
      <c r="H598" s="527"/>
      <c r="I598" s="527"/>
      <c r="J598" s="527"/>
      <c r="K598" s="528"/>
      <c r="L598" s="538"/>
      <c r="M598" s="538"/>
      <c r="N598" s="538"/>
      <c r="O598" s="538"/>
      <c r="P598" s="538"/>
      <c r="Q598" s="538"/>
      <c r="R598" s="538"/>
      <c r="S598" s="538"/>
      <c r="T598" s="538"/>
      <c r="U598" s="538"/>
      <c r="V598" s="530"/>
      <c r="W598" s="532"/>
      <c r="X598" s="531"/>
      <c r="Y598" s="531"/>
    </row>
    <row r="599" spans="1:25" ht="22.5" customHeight="1" x14ac:dyDescent="0.25">
      <c r="A599" s="526"/>
      <c r="B599" s="527"/>
      <c r="C599" s="527"/>
      <c r="D599" s="527"/>
      <c r="E599" s="527"/>
      <c r="F599" s="527"/>
      <c r="G599" s="527"/>
      <c r="H599" s="527"/>
      <c r="I599" s="527"/>
      <c r="J599" s="527"/>
      <c r="K599" s="528"/>
      <c r="L599" s="538"/>
      <c r="M599" s="538"/>
      <c r="N599" s="538"/>
      <c r="O599" s="538"/>
      <c r="P599" s="538"/>
      <c r="Q599" s="538"/>
      <c r="R599" s="538"/>
      <c r="S599" s="538"/>
      <c r="T599" s="538"/>
      <c r="U599" s="538"/>
      <c r="V599" s="530"/>
      <c r="W599" s="532"/>
      <c r="X599" s="531"/>
      <c r="Y599" s="531"/>
    </row>
    <row r="600" spans="1:25" ht="22.5" customHeight="1" x14ac:dyDescent="0.25">
      <c r="A600" s="526"/>
      <c r="B600" s="527"/>
      <c r="C600" s="527"/>
      <c r="D600" s="527"/>
      <c r="E600" s="527"/>
      <c r="F600" s="527"/>
      <c r="G600" s="527"/>
      <c r="H600" s="527"/>
      <c r="I600" s="527"/>
      <c r="J600" s="527"/>
      <c r="K600" s="528"/>
      <c r="L600" s="538"/>
      <c r="M600" s="538"/>
      <c r="N600" s="538"/>
      <c r="O600" s="538"/>
      <c r="P600" s="538"/>
      <c r="Q600" s="538"/>
      <c r="R600" s="538"/>
      <c r="S600" s="538"/>
      <c r="T600" s="538"/>
      <c r="U600" s="538"/>
      <c r="V600" s="530"/>
      <c r="W600" s="532"/>
      <c r="X600" s="531"/>
      <c r="Y600" s="531"/>
    </row>
    <row r="601" spans="1:25" ht="22.5" customHeight="1" x14ac:dyDescent="0.25">
      <c r="A601" s="526"/>
      <c r="B601" s="527"/>
      <c r="C601" s="527"/>
      <c r="D601" s="527"/>
      <c r="E601" s="527"/>
      <c r="F601" s="527"/>
      <c r="G601" s="527"/>
      <c r="H601" s="527"/>
      <c r="I601" s="527"/>
      <c r="J601" s="527"/>
      <c r="K601" s="528"/>
      <c r="L601" s="538"/>
      <c r="M601" s="538"/>
      <c r="N601" s="538"/>
      <c r="O601" s="538"/>
      <c r="P601" s="538"/>
      <c r="Q601" s="538"/>
      <c r="R601" s="538"/>
      <c r="S601" s="538"/>
      <c r="T601" s="538"/>
      <c r="U601" s="538"/>
      <c r="V601" s="530"/>
      <c r="W601" s="532"/>
      <c r="X601" s="531"/>
      <c r="Y601" s="531"/>
    </row>
    <row r="602" spans="1:25" ht="22.5" customHeight="1" x14ac:dyDescent="0.25">
      <c r="A602" s="526"/>
      <c r="B602" s="527"/>
      <c r="C602" s="527"/>
      <c r="D602" s="527"/>
      <c r="E602" s="527"/>
      <c r="F602" s="527"/>
      <c r="G602" s="527"/>
      <c r="H602" s="527"/>
      <c r="I602" s="527"/>
      <c r="J602" s="527"/>
      <c r="K602" s="528"/>
      <c r="L602" s="538"/>
      <c r="M602" s="538"/>
      <c r="N602" s="538"/>
      <c r="O602" s="538"/>
      <c r="P602" s="538"/>
      <c r="Q602" s="538"/>
      <c r="R602" s="538"/>
      <c r="S602" s="538"/>
      <c r="T602" s="538"/>
      <c r="U602" s="538"/>
      <c r="V602" s="530"/>
      <c r="W602" s="532"/>
      <c r="X602" s="531"/>
      <c r="Y602" s="531"/>
    </row>
    <row r="603" spans="1:25" ht="22.5" customHeight="1" x14ac:dyDescent="0.25">
      <c r="A603" s="526"/>
      <c r="B603" s="527"/>
      <c r="C603" s="527"/>
      <c r="D603" s="527"/>
      <c r="E603" s="527"/>
      <c r="F603" s="527"/>
      <c r="G603" s="527"/>
      <c r="H603" s="527"/>
      <c r="I603" s="527"/>
      <c r="J603" s="527"/>
      <c r="K603" s="528"/>
      <c r="L603" s="538"/>
      <c r="M603" s="538"/>
      <c r="N603" s="538"/>
      <c r="O603" s="538"/>
      <c r="P603" s="538"/>
      <c r="Q603" s="538"/>
      <c r="R603" s="538"/>
      <c r="S603" s="538"/>
      <c r="T603" s="538"/>
      <c r="U603" s="538"/>
      <c r="V603" s="530"/>
      <c r="W603" s="532"/>
      <c r="X603" s="531"/>
      <c r="Y603" s="531"/>
    </row>
    <row r="604" spans="1:25" ht="22.5" customHeight="1" x14ac:dyDescent="0.25">
      <c r="A604" s="526"/>
      <c r="B604" s="527"/>
      <c r="C604" s="527"/>
      <c r="D604" s="527"/>
      <c r="E604" s="527"/>
      <c r="F604" s="527"/>
      <c r="G604" s="527"/>
      <c r="H604" s="527"/>
      <c r="I604" s="527"/>
      <c r="J604" s="527"/>
      <c r="K604" s="528"/>
      <c r="L604" s="538"/>
      <c r="M604" s="538"/>
      <c r="N604" s="538"/>
      <c r="O604" s="538"/>
      <c r="P604" s="538"/>
      <c r="Q604" s="538"/>
      <c r="R604" s="538"/>
      <c r="S604" s="538"/>
      <c r="T604" s="538"/>
      <c r="U604" s="538"/>
      <c r="V604" s="530"/>
      <c r="W604" s="532"/>
      <c r="X604" s="531"/>
      <c r="Y604" s="531"/>
    </row>
    <row r="605" spans="1:25" ht="22.5" customHeight="1" x14ac:dyDescent="0.25">
      <c r="A605" s="526"/>
      <c r="B605" s="527"/>
      <c r="C605" s="527"/>
      <c r="D605" s="527"/>
      <c r="E605" s="527"/>
      <c r="F605" s="527"/>
      <c r="G605" s="527"/>
      <c r="H605" s="527"/>
      <c r="I605" s="527"/>
      <c r="J605" s="527"/>
      <c r="K605" s="528"/>
      <c r="L605" s="538"/>
      <c r="M605" s="538"/>
      <c r="N605" s="538"/>
      <c r="O605" s="538"/>
      <c r="P605" s="538"/>
      <c r="Q605" s="538"/>
      <c r="R605" s="538"/>
      <c r="S605" s="538"/>
      <c r="T605" s="538"/>
      <c r="U605" s="538"/>
      <c r="V605" s="530"/>
      <c r="W605" s="532"/>
      <c r="X605" s="531"/>
      <c r="Y605" s="531"/>
    </row>
    <row r="606" spans="1:25" ht="22.5" customHeight="1" x14ac:dyDescent="0.25">
      <c r="A606" s="526"/>
      <c r="B606" s="527"/>
      <c r="C606" s="527"/>
      <c r="D606" s="527"/>
      <c r="E606" s="527"/>
      <c r="F606" s="527"/>
      <c r="G606" s="527"/>
      <c r="H606" s="527"/>
      <c r="I606" s="527"/>
      <c r="J606" s="527"/>
      <c r="K606" s="528"/>
      <c r="L606" s="538"/>
      <c r="M606" s="538"/>
      <c r="N606" s="538"/>
      <c r="O606" s="538"/>
      <c r="P606" s="538"/>
      <c r="Q606" s="538"/>
      <c r="R606" s="538"/>
      <c r="S606" s="538"/>
      <c r="T606" s="538"/>
      <c r="U606" s="538"/>
      <c r="V606" s="530"/>
      <c r="W606" s="532"/>
      <c r="X606" s="531"/>
      <c r="Y606" s="531"/>
    </row>
    <row r="607" spans="1:25" ht="22.5" customHeight="1" x14ac:dyDescent="0.25">
      <c r="A607" s="526"/>
      <c r="B607" s="527"/>
      <c r="C607" s="527"/>
      <c r="D607" s="527"/>
      <c r="E607" s="527"/>
      <c r="F607" s="527"/>
      <c r="G607" s="527"/>
      <c r="H607" s="527"/>
      <c r="I607" s="527"/>
      <c r="J607" s="527"/>
      <c r="K607" s="528"/>
      <c r="L607" s="538"/>
      <c r="M607" s="538"/>
      <c r="N607" s="538"/>
      <c r="O607" s="538"/>
      <c r="P607" s="538"/>
      <c r="Q607" s="538"/>
      <c r="R607" s="538"/>
      <c r="S607" s="538"/>
      <c r="T607" s="538"/>
      <c r="U607" s="538"/>
      <c r="V607" s="530"/>
      <c r="W607" s="532"/>
      <c r="X607" s="531"/>
      <c r="Y607" s="531"/>
    </row>
    <row r="608" spans="1:25" ht="22.5" customHeight="1" x14ac:dyDescent="0.25">
      <c r="A608" s="526"/>
      <c r="B608" s="527"/>
      <c r="C608" s="527"/>
      <c r="D608" s="527"/>
      <c r="E608" s="527"/>
      <c r="F608" s="527"/>
      <c r="G608" s="527"/>
      <c r="H608" s="527"/>
      <c r="I608" s="527"/>
      <c r="J608" s="527"/>
      <c r="K608" s="528"/>
      <c r="L608" s="538"/>
      <c r="M608" s="538"/>
      <c r="N608" s="538"/>
      <c r="O608" s="538"/>
      <c r="P608" s="538"/>
      <c r="Q608" s="538"/>
      <c r="R608" s="538"/>
      <c r="S608" s="538"/>
      <c r="T608" s="538"/>
      <c r="U608" s="538"/>
      <c r="V608" s="530"/>
      <c r="W608" s="532"/>
      <c r="X608" s="531"/>
      <c r="Y608" s="531"/>
    </row>
    <row r="609" spans="1:25" ht="22.5" customHeight="1" x14ac:dyDescent="0.25">
      <c r="A609" s="526"/>
      <c r="B609" s="527"/>
      <c r="C609" s="527"/>
      <c r="D609" s="527"/>
      <c r="E609" s="527"/>
      <c r="F609" s="527"/>
      <c r="G609" s="527"/>
      <c r="H609" s="527"/>
      <c r="I609" s="527"/>
      <c r="J609" s="527"/>
      <c r="K609" s="528"/>
      <c r="L609" s="538"/>
      <c r="M609" s="538"/>
      <c r="N609" s="538"/>
      <c r="O609" s="538"/>
      <c r="P609" s="538"/>
      <c r="Q609" s="538"/>
      <c r="R609" s="538"/>
      <c r="S609" s="538"/>
      <c r="T609" s="538"/>
      <c r="U609" s="538"/>
      <c r="V609" s="530"/>
      <c r="W609" s="532"/>
      <c r="X609" s="531"/>
      <c r="Y609" s="531"/>
    </row>
    <row r="610" spans="1:25" ht="22.5" customHeight="1" x14ac:dyDescent="0.25">
      <c r="A610" s="526"/>
      <c r="B610" s="527"/>
      <c r="C610" s="527"/>
      <c r="D610" s="527"/>
      <c r="E610" s="527"/>
      <c r="F610" s="527"/>
      <c r="G610" s="527"/>
      <c r="H610" s="527"/>
      <c r="I610" s="527"/>
      <c r="J610" s="527"/>
      <c r="K610" s="528"/>
      <c r="L610" s="538"/>
      <c r="M610" s="538"/>
      <c r="N610" s="538"/>
      <c r="O610" s="538"/>
      <c r="P610" s="538"/>
      <c r="Q610" s="538"/>
      <c r="R610" s="538"/>
      <c r="S610" s="538"/>
      <c r="T610" s="538"/>
      <c r="U610" s="538"/>
      <c r="V610" s="530"/>
      <c r="W610" s="532"/>
      <c r="X610" s="531"/>
      <c r="Y610" s="531"/>
    </row>
    <row r="611" spans="1:25" ht="22.5" customHeight="1" x14ac:dyDescent="0.25">
      <c r="A611" s="526"/>
      <c r="B611" s="527"/>
      <c r="C611" s="527"/>
      <c r="D611" s="527"/>
      <c r="E611" s="527"/>
      <c r="F611" s="527"/>
      <c r="G611" s="527"/>
      <c r="H611" s="527"/>
      <c r="I611" s="527"/>
      <c r="J611" s="527"/>
      <c r="K611" s="528"/>
      <c r="L611" s="538"/>
      <c r="M611" s="538"/>
      <c r="N611" s="538"/>
      <c r="O611" s="538"/>
      <c r="P611" s="538"/>
      <c r="Q611" s="538"/>
      <c r="R611" s="538"/>
      <c r="S611" s="538"/>
      <c r="T611" s="538"/>
      <c r="U611" s="538"/>
      <c r="V611" s="530"/>
      <c r="W611" s="532"/>
      <c r="X611" s="531"/>
      <c r="Y611" s="531"/>
    </row>
    <row r="612" spans="1:25" ht="22.5" customHeight="1" x14ac:dyDescent="0.25">
      <c r="A612" s="526"/>
      <c r="B612" s="527"/>
      <c r="C612" s="527"/>
      <c r="D612" s="527"/>
      <c r="E612" s="527"/>
      <c r="F612" s="527"/>
      <c r="G612" s="527"/>
      <c r="H612" s="527"/>
      <c r="I612" s="527"/>
      <c r="J612" s="527"/>
      <c r="K612" s="528"/>
      <c r="L612" s="538"/>
      <c r="M612" s="538"/>
      <c r="N612" s="538"/>
      <c r="O612" s="538"/>
      <c r="P612" s="538"/>
      <c r="Q612" s="538"/>
      <c r="R612" s="538"/>
      <c r="S612" s="538"/>
      <c r="T612" s="538"/>
      <c r="U612" s="538"/>
      <c r="V612" s="530"/>
      <c r="W612" s="532"/>
      <c r="X612" s="531"/>
      <c r="Y612" s="531"/>
    </row>
    <row r="613" spans="1:25" ht="22.5" customHeight="1" x14ac:dyDescent="0.25">
      <c r="A613" s="526"/>
      <c r="B613" s="527"/>
      <c r="C613" s="527"/>
      <c r="D613" s="527"/>
      <c r="E613" s="527"/>
      <c r="F613" s="527"/>
      <c r="G613" s="527"/>
      <c r="H613" s="527"/>
      <c r="I613" s="527"/>
      <c r="J613" s="527"/>
      <c r="K613" s="528"/>
      <c r="L613" s="538"/>
      <c r="M613" s="538"/>
      <c r="N613" s="538"/>
      <c r="O613" s="538"/>
      <c r="P613" s="538"/>
      <c r="Q613" s="538"/>
      <c r="R613" s="538"/>
      <c r="S613" s="538"/>
      <c r="T613" s="538"/>
      <c r="U613" s="538"/>
      <c r="V613" s="530"/>
      <c r="W613" s="532"/>
      <c r="X613" s="531"/>
      <c r="Y613" s="531"/>
    </row>
    <row r="614" spans="1:25" ht="22.5" customHeight="1" x14ac:dyDescent="0.25">
      <c r="A614" s="526"/>
      <c r="B614" s="527"/>
      <c r="C614" s="527"/>
      <c r="D614" s="527"/>
      <c r="E614" s="527"/>
      <c r="F614" s="527"/>
      <c r="G614" s="527"/>
      <c r="H614" s="527"/>
      <c r="I614" s="527"/>
      <c r="J614" s="527"/>
      <c r="K614" s="528"/>
      <c r="L614" s="538"/>
      <c r="M614" s="538"/>
      <c r="N614" s="538"/>
      <c r="O614" s="538"/>
      <c r="P614" s="538"/>
      <c r="Q614" s="538"/>
      <c r="R614" s="538"/>
      <c r="S614" s="538"/>
      <c r="T614" s="538"/>
      <c r="U614" s="538"/>
      <c r="V614" s="530"/>
      <c r="W614" s="532"/>
      <c r="X614" s="531"/>
      <c r="Y614" s="531"/>
    </row>
    <row r="615" spans="1:25" ht="22.5" customHeight="1" x14ac:dyDescent="0.25">
      <c r="A615" s="526"/>
      <c r="B615" s="527"/>
      <c r="C615" s="527"/>
      <c r="D615" s="527"/>
      <c r="E615" s="527"/>
      <c r="F615" s="527"/>
      <c r="G615" s="527"/>
      <c r="H615" s="527"/>
      <c r="I615" s="527"/>
      <c r="J615" s="527"/>
      <c r="K615" s="528"/>
      <c r="L615" s="538"/>
      <c r="M615" s="538"/>
      <c r="N615" s="538"/>
      <c r="O615" s="538"/>
      <c r="P615" s="538"/>
      <c r="Q615" s="538"/>
      <c r="R615" s="538"/>
      <c r="S615" s="538"/>
      <c r="T615" s="538"/>
      <c r="U615" s="538"/>
      <c r="V615" s="530"/>
      <c r="W615" s="532"/>
      <c r="X615" s="531"/>
      <c r="Y615" s="531"/>
    </row>
    <row r="616" spans="1:25" ht="22.5" customHeight="1" x14ac:dyDescent="0.25">
      <c r="A616" s="526"/>
      <c r="B616" s="527"/>
      <c r="C616" s="527"/>
      <c r="D616" s="527"/>
      <c r="E616" s="527"/>
      <c r="F616" s="527"/>
      <c r="G616" s="527"/>
      <c r="H616" s="527"/>
      <c r="I616" s="527"/>
      <c r="J616" s="527"/>
      <c r="K616" s="528"/>
      <c r="L616" s="538"/>
      <c r="M616" s="538"/>
      <c r="N616" s="538"/>
      <c r="O616" s="538"/>
      <c r="P616" s="538"/>
      <c r="Q616" s="538"/>
      <c r="R616" s="538"/>
      <c r="S616" s="538"/>
      <c r="T616" s="538"/>
      <c r="U616" s="538"/>
      <c r="V616" s="530"/>
      <c r="W616" s="532"/>
      <c r="X616" s="531"/>
      <c r="Y616" s="531"/>
    </row>
    <row r="617" spans="1:25" ht="22.5" customHeight="1" x14ac:dyDescent="0.25">
      <c r="A617" s="526"/>
      <c r="B617" s="527"/>
      <c r="C617" s="527"/>
      <c r="D617" s="527"/>
      <c r="E617" s="527"/>
      <c r="F617" s="527"/>
      <c r="G617" s="527"/>
      <c r="H617" s="527"/>
      <c r="I617" s="527"/>
      <c r="J617" s="527"/>
      <c r="K617" s="528"/>
      <c r="L617" s="538"/>
      <c r="M617" s="538"/>
      <c r="N617" s="538"/>
      <c r="O617" s="538"/>
      <c r="P617" s="538"/>
      <c r="Q617" s="538"/>
      <c r="R617" s="538"/>
      <c r="S617" s="538"/>
      <c r="T617" s="538"/>
      <c r="U617" s="538"/>
      <c r="V617" s="530"/>
      <c r="W617" s="532"/>
      <c r="X617" s="531"/>
      <c r="Y617" s="531"/>
    </row>
    <row r="618" spans="1:25" s="174" customFormat="1" ht="22.5" customHeight="1" x14ac:dyDescent="0.25">
      <c r="A618" s="526"/>
      <c r="B618" s="527"/>
      <c r="C618" s="527"/>
      <c r="D618" s="527"/>
      <c r="E618" s="527"/>
      <c r="F618" s="527"/>
      <c r="G618" s="527"/>
      <c r="H618" s="532"/>
      <c r="I618" s="532"/>
      <c r="J618" s="532"/>
      <c r="K618" s="533"/>
      <c r="L618" s="537"/>
      <c r="M618" s="537"/>
      <c r="N618" s="537"/>
      <c r="O618" s="537"/>
      <c r="P618" s="537"/>
      <c r="Q618" s="537"/>
      <c r="R618" s="537"/>
      <c r="S618" s="537"/>
      <c r="T618" s="537"/>
      <c r="U618" s="537"/>
      <c r="V618" s="535"/>
      <c r="W618" s="532"/>
      <c r="X618" s="531"/>
      <c r="Y618" s="531"/>
    </row>
    <row r="619" spans="1:25" s="174" customFormat="1" ht="22.5" customHeight="1" x14ac:dyDescent="0.25">
      <c r="A619" s="526"/>
      <c r="B619" s="527"/>
      <c r="C619" s="527"/>
      <c r="D619" s="527"/>
      <c r="E619" s="527"/>
      <c r="F619" s="527"/>
      <c r="G619" s="527"/>
      <c r="H619" s="532"/>
      <c r="I619" s="532"/>
      <c r="J619" s="532"/>
      <c r="K619" s="533"/>
      <c r="L619" s="537"/>
      <c r="M619" s="537"/>
      <c r="N619" s="537"/>
      <c r="O619" s="537"/>
      <c r="P619" s="537"/>
      <c r="Q619" s="537"/>
      <c r="R619" s="537"/>
      <c r="S619" s="537"/>
      <c r="T619" s="537"/>
      <c r="U619" s="537"/>
      <c r="V619" s="535"/>
      <c r="W619" s="532"/>
      <c r="X619" s="531"/>
      <c r="Y619" s="531"/>
    </row>
    <row r="620" spans="1:25" ht="22.5" customHeight="1" x14ac:dyDescent="0.25">
      <c r="A620" s="526"/>
      <c r="B620" s="527"/>
      <c r="C620" s="527"/>
      <c r="D620" s="527"/>
      <c r="E620" s="527"/>
      <c r="F620" s="527"/>
      <c r="G620" s="527"/>
      <c r="H620" s="527"/>
      <c r="I620" s="527"/>
      <c r="J620" s="527"/>
      <c r="K620" s="528"/>
      <c r="L620" s="538"/>
      <c r="M620" s="538"/>
      <c r="N620" s="538"/>
      <c r="O620" s="538"/>
      <c r="P620" s="538"/>
      <c r="Q620" s="538"/>
      <c r="R620" s="538"/>
      <c r="S620" s="538"/>
      <c r="T620" s="538"/>
      <c r="U620" s="538"/>
      <c r="V620" s="530"/>
      <c r="W620" s="532"/>
      <c r="X620" s="531"/>
      <c r="Y620" s="531"/>
    </row>
    <row r="621" spans="1:25" ht="22.5" customHeight="1" x14ac:dyDescent="0.25">
      <c r="A621" s="526"/>
      <c r="B621" s="527"/>
      <c r="C621" s="527"/>
      <c r="D621" s="527"/>
      <c r="E621" s="527"/>
      <c r="F621" s="527"/>
      <c r="G621" s="527"/>
      <c r="H621" s="527"/>
      <c r="I621" s="527"/>
      <c r="J621" s="527"/>
      <c r="K621" s="528"/>
      <c r="L621" s="538"/>
      <c r="M621" s="538"/>
      <c r="N621" s="538"/>
      <c r="O621" s="538"/>
      <c r="P621" s="538"/>
      <c r="Q621" s="538"/>
      <c r="R621" s="538"/>
      <c r="S621" s="538"/>
      <c r="T621" s="538"/>
      <c r="U621" s="538"/>
      <c r="V621" s="530"/>
      <c r="W621" s="532"/>
      <c r="X621" s="531"/>
      <c r="Y621" s="531"/>
    </row>
    <row r="622" spans="1:25" ht="22.5" customHeight="1" x14ac:dyDescent="0.25">
      <c r="A622" s="526"/>
      <c r="B622" s="527"/>
      <c r="C622" s="527"/>
      <c r="D622" s="527"/>
      <c r="E622" s="527"/>
      <c r="F622" s="527"/>
      <c r="G622" s="527"/>
      <c r="H622" s="527"/>
      <c r="I622" s="527"/>
      <c r="J622" s="527"/>
      <c r="K622" s="528"/>
      <c r="L622" s="538"/>
      <c r="M622" s="538"/>
      <c r="N622" s="538"/>
      <c r="O622" s="538"/>
      <c r="P622" s="538"/>
      <c r="Q622" s="538"/>
      <c r="R622" s="538"/>
      <c r="S622" s="538"/>
      <c r="T622" s="538"/>
      <c r="U622" s="538"/>
      <c r="V622" s="530"/>
      <c r="W622" s="532"/>
      <c r="X622" s="531"/>
      <c r="Y622" s="531"/>
    </row>
    <row r="623" spans="1:25" ht="22.5" customHeight="1" x14ac:dyDescent="0.25">
      <c r="A623" s="526"/>
      <c r="B623" s="527"/>
      <c r="C623" s="527"/>
      <c r="D623" s="527"/>
      <c r="E623" s="527"/>
      <c r="F623" s="527"/>
      <c r="G623" s="527"/>
      <c r="H623" s="527"/>
      <c r="I623" s="527"/>
      <c r="J623" s="527"/>
      <c r="K623" s="528"/>
      <c r="L623" s="538"/>
      <c r="M623" s="538"/>
      <c r="N623" s="538"/>
      <c r="O623" s="538"/>
      <c r="P623" s="538"/>
      <c r="Q623" s="538"/>
      <c r="R623" s="538"/>
      <c r="S623" s="538"/>
      <c r="T623" s="538"/>
      <c r="U623" s="538"/>
      <c r="V623" s="530"/>
      <c r="W623" s="532"/>
      <c r="X623" s="531"/>
      <c r="Y623" s="531"/>
    </row>
    <row r="624" spans="1:25" ht="22.5" customHeight="1" x14ac:dyDescent="0.25">
      <c r="A624" s="526"/>
      <c r="B624" s="527"/>
      <c r="C624" s="527"/>
      <c r="D624" s="527"/>
      <c r="E624" s="527"/>
      <c r="F624" s="527"/>
      <c r="G624" s="527"/>
      <c r="H624" s="527"/>
      <c r="I624" s="527"/>
      <c r="J624" s="527"/>
      <c r="K624" s="528"/>
      <c r="L624" s="538"/>
      <c r="M624" s="538"/>
      <c r="N624" s="538"/>
      <c r="O624" s="538"/>
      <c r="P624" s="538"/>
      <c r="Q624" s="538"/>
      <c r="R624" s="538"/>
      <c r="S624" s="538"/>
      <c r="T624" s="538"/>
      <c r="U624" s="538"/>
      <c r="V624" s="530"/>
      <c r="W624" s="532"/>
      <c r="X624" s="531"/>
      <c r="Y624" s="531"/>
    </row>
    <row r="625" spans="1:25" ht="22.5" customHeight="1" x14ac:dyDescent="0.25">
      <c r="A625" s="526"/>
      <c r="B625" s="527"/>
      <c r="C625" s="527"/>
      <c r="D625" s="527"/>
      <c r="E625" s="527"/>
      <c r="F625" s="527"/>
      <c r="G625" s="527"/>
      <c r="H625" s="527"/>
      <c r="I625" s="527"/>
      <c r="J625" s="527"/>
      <c r="K625" s="528"/>
      <c r="L625" s="538"/>
      <c r="M625" s="538"/>
      <c r="N625" s="538"/>
      <c r="O625" s="538"/>
      <c r="P625" s="538"/>
      <c r="Q625" s="538"/>
      <c r="R625" s="538"/>
      <c r="S625" s="538"/>
      <c r="T625" s="538"/>
      <c r="U625" s="538"/>
      <c r="V625" s="530"/>
      <c r="W625" s="532"/>
      <c r="X625" s="531"/>
      <c r="Y625" s="531"/>
    </row>
    <row r="626" spans="1:25" ht="22.5" customHeight="1" x14ac:dyDescent="0.25">
      <c r="A626" s="526"/>
      <c r="B626" s="527"/>
      <c r="C626" s="527"/>
      <c r="D626" s="527"/>
      <c r="E626" s="527"/>
      <c r="F626" s="527"/>
      <c r="G626" s="527"/>
      <c r="H626" s="527"/>
      <c r="I626" s="527"/>
      <c r="J626" s="527"/>
      <c r="K626" s="528"/>
      <c r="L626" s="538"/>
      <c r="M626" s="538"/>
      <c r="N626" s="538"/>
      <c r="O626" s="538"/>
      <c r="P626" s="538"/>
      <c r="Q626" s="538"/>
      <c r="R626" s="538"/>
      <c r="S626" s="538"/>
      <c r="T626" s="538"/>
      <c r="U626" s="538"/>
      <c r="V626" s="530"/>
      <c r="W626" s="532"/>
      <c r="X626" s="531"/>
      <c r="Y626" s="531"/>
    </row>
    <row r="627" spans="1:25" ht="22.5" customHeight="1" x14ac:dyDescent="0.25">
      <c r="A627" s="526"/>
      <c r="B627" s="527"/>
      <c r="C627" s="527"/>
      <c r="D627" s="527"/>
      <c r="E627" s="527"/>
      <c r="F627" s="527"/>
      <c r="G627" s="527"/>
      <c r="H627" s="527"/>
      <c r="I627" s="527"/>
      <c r="J627" s="527"/>
      <c r="K627" s="528"/>
      <c r="L627" s="538"/>
      <c r="M627" s="538"/>
      <c r="N627" s="538"/>
      <c r="O627" s="538"/>
      <c r="P627" s="538"/>
      <c r="Q627" s="538"/>
      <c r="R627" s="538"/>
      <c r="S627" s="538"/>
      <c r="T627" s="538"/>
      <c r="U627" s="538"/>
      <c r="V627" s="530"/>
      <c r="W627" s="532"/>
      <c r="X627" s="531"/>
      <c r="Y627" s="531"/>
    </row>
    <row r="628" spans="1:25" ht="22.5" customHeight="1" x14ac:dyDescent="0.25">
      <c r="A628" s="526"/>
      <c r="B628" s="527"/>
      <c r="C628" s="527"/>
      <c r="D628" s="527"/>
      <c r="E628" s="527"/>
      <c r="F628" s="527"/>
      <c r="G628" s="527"/>
      <c r="H628" s="527"/>
      <c r="I628" s="527"/>
      <c r="J628" s="527"/>
      <c r="K628" s="528"/>
      <c r="L628" s="538"/>
      <c r="M628" s="538"/>
      <c r="N628" s="538"/>
      <c r="O628" s="538"/>
      <c r="P628" s="538"/>
      <c r="Q628" s="538"/>
      <c r="R628" s="538"/>
      <c r="S628" s="538"/>
      <c r="T628" s="538"/>
      <c r="U628" s="538"/>
      <c r="V628" s="530"/>
      <c r="W628" s="532"/>
      <c r="X628" s="531"/>
      <c r="Y628" s="531"/>
    </row>
    <row r="629" spans="1:25" ht="22.5" customHeight="1" x14ac:dyDescent="0.25">
      <c r="A629" s="526"/>
      <c r="B629" s="527"/>
      <c r="C629" s="527"/>
      <c r="D629" s="527"/>
      <c r="E629" s="527"/>
      <c r="F629" s="527"/>
      <c r="G629" s="527"/>
      <c r="H629" s="527"/>
      <c r="I629" s="527"/>
      <c r="J629" s="527"/>
      <c r="K629" s="528"/>
      <c r="L629" s="538"/>
      <c r="M629" s="538"/>
      <c r="N629" s="538"/>
      <c r="O629" s="538"/>
      <c r="P629" s="538"/>
      <c r="Q629" s="538"/>
      <c r="R629" s="538"/>
      <c r="S629" s="538"/>
      <c r="T629" s="538"/>
      <c r="U629" s="538"/>
      <c r="V629" s="530"/>
      <c r="W629" s="532"/>
      <c r="X629" s="531"/>
      <c r="Y629" s="531"/>
    </row>
    <row r="630" spans="1:25" ht="22.5" customHeight="1" x14ac:dyDescent="0.25">
      <c r="A630" s="526"/>
      <c r="B630" s="527"/>
      <c r="C630" s="527"/>
      <c r="D630" s="527"/>
      <c r="E630" s="527"/>
      <c r="F630" s="527"/>
      <c r="G630" s="527"/>
      <c r="H630" s="527"/>
      <c r="I630" s="527"/>
      <c r="J630" s="527"/>
      <c r="K630" s="528"/>
      <c r="L630" s="538"/>
      <c r="M630" s="538"/>
      <c r="N630" s="538"/>
      <c r="O630" s="538"/>
      <c r="P630" s="538"/>
      <c r="Q630" s="538"/>
      <c r="R630" s="538"/>
      <c r="S630" s="538"/>
      <c r="T630" s="538"/>
      <c r="U630" s="538"/>
      <c r="V630" s="530"/>
      <c r="W630" s="532"/>
      <c r="X630" s="531"/>
      <c r="Y630" s="531"/>
    </row>
    <row r="631" spans="1:25" ht="22.5" customHeight="1" x14ac:dyDescent="0.25">
      <c r="A631" s="526"/>
      <c r="B631" s="527"/>
      <c r="C631" s="527"/>
      <c r="D631" s="527"/>
      <c r="E631" s="527"/>
      <c r="F631" s="527"/>
      <c r="G631" s="527"/>
      <c r="H631" s="527"/>
      <c r="I631" s="527"/>
      <c r="J631" s="527"/>
      <c r="K631" s="528"/>
      <c r="L631" s="538"/>
      <c r="M631" s="538"/>
      <c r="N631" s="538"/>
      <c r="O631" s="538"/>
      <c r="P631" s="538"/>
      <c r="Q631" s="538"/>
      <c r="R631" s="538"/>
      <c r="S631" s="538"/>
      <c r="T631" s="538"/>
      <c r="U631" s="538"/>
      <c r="V631" s="530"/>
      <c r="W631" s="532"/>
      <c r="X631" s="531"/>
      <c r="Y631" s="531"/>
    </row>
    <row r="632" spans="1:25" ht="22.5" customHeight="1" x14ac:dyDescent="0.25">
      <c r="A632" s="526"/>
      <c r="B632" s="527"/>
      <c r="C632" s="527"/>
      <c r="D632" s="527"/>
      <c r="E632" s="527"/>
      <c r="F632" s="527"/>
      <c r="G632" s="527"/>
      <c r="H632" s="527"/>
      <c r="I632" s="527"/>
      <c r="J632" s="527"/>
      <c r="K632" s="528"/>
      <c r="L632" s="538"/>
      <c r="M632" s="538"/>
      <c r="N632" s="538"/>
      <c r="O632" s="538"/>
      <c r="P632" s="538"/>
      <c r="Q632" s="538"/>
      <c r="R632" s="538"/>
      <c r="S632" s="538"/>
      <c r="T632" s="538"/>
      <c r="U632" s="538"/>
      <c r="V632" s="530"/>
      <c r="W632" s="532"/>
      <c r="X632" s="531"/>
      <c r="Y632" s="531"/>
    </row>
    <row r="633" spans="1:25" ht="22.5" customHeight="1" x14ac:dyDescent="0.25">
      <c r="A633" s="526"/>
      <c r="B633" s="527"/>
      <c r="C633" s="527"/>
      <c r="D633" s="527"/>
      <c r="E633" s="527"/>
      <c r="F633" s="527"/>
      <c r="G633" s="527"/>
      <c r="H633" s="527"/>
      <c r="I633" s="527"/>
      <c r="J633" s="527"/>
      <c r="K633" s="533"/>
      <c r="L633" s="537"/>
      <c r="M633" s="537"/>
      <c r="N633" s="537"/>
      <c r="O633" s="537"/>
      <c r="P633" s="537"/>
      <c r="Q633" s="537"/>
      <c r="R633" s="537"/>
      <c r="S633" s="537"/>
      <c r="T633" s="537"/>
      <c r="U633" s="537"/>
      <c r="V633" s="535"/>
      <c r="W633" s="532"/>
      <c r="X633" s="531"/>
      <c r="Y633" s="531"/>
    </row>
    <row r="634" spans="1:25" ht="22.5" customHeight="1" x14ac:dyDescent="0.25">
      <c r="A634" s="526"/>
      <c r="B634" s="527"/>
      <c r="C634" s="527"/>
      <c r="D634" s="527"/>
      <c r="E634" s="527"/>
      <c r="F634" s="527"/>
      <c r="G634" s="527"/>
      <c r="H634" s="527"/>
      <c r="I634" s="527"/>
      <c r="J634" s="527"/>
      <c r="K634" s="528"/>
      <c r="L634" s="538"/>
      <c r="M634" s="538"/>
      <c r="N634" s="538"/>
      <c r="O634" s="538"/>
      <c r="P634" s="538"/>
      <c r="Q634" s="538"/>
      <c r="R634" s="538"/>
      <c r="S634" s="538"/>
      <c r="T634" s="538"/>
      <c r="U634" s="538"/>
      <c r="V634" s="530"/>
      <c r="W634" s="532"/>
      <c r="X634" s="531"/>
      <c r="Y634" s="531"/>
    </row>
    <row r="635" spans="1:25" ht="22.5" customHeight="1" x14ac:dyDescent="0.25">
      <c r="A635" s="526"/>
      <c r="B635" s="527"/>
      <c r="C635" s="527"/>
      <c r="D635" s="527"/>
      <c r="E635" s="527"/>
      <c r="F635" s="527"/>
      <c r="G635" s="527"/>
      <c r="H635" s="527"/>
      <c r="I635" s="527"/>
      <c r="J635" s="527"/>
      <c r="K635" s="528"/>
      <c r="L635" s="538"/>
      <c r="M635" s="538"/>
      <c r="N635" s="538"/>
      <c r="O635" s="538"/>
      <c r="P635" s="538"/>
      <c r="Q635" s="538"/>
      <c r="R635" s="538"/>
      <c r="S635" s="538"/>
      <c r="T635" s="538"/>
      <c r="U635" s="538"/>
      <c r="V635" s="530"/>
      <c r="W635" s="532"/>
      <c r="X635" s="531"/>
      <c r="Y635" s="531"/>
    </row>
    <row r="636" spans="1:25" ht="22.5" customHeight="1" x14ac:dyDescent="0.25">
      <c r="A636" s="526"/>
      <c r="B636" s="527"/>
      <c r="C636" s="527"/>
      <c r="D636" s="527"/>
      <c r="E636" s="527"/>
      <c r="F636" s="527"/>
      <c r="G636" s="527"/>
      <c r="H636" s="527"/>
      <c r="I636" s="527"/>
      <c r="J636" s="527"/>
      <c r="K636" s="528"/>
      <c r="L636" s="538"/>
      <c r="M636" s="538"/>
      <c r="N636" s="538"/>
      <c r="O636" s="538"/>
      <c r="P636" s="538"/>
      <c r="Q636" s="538"/>
      <c r="R636" s="538"/>
      <c r="S636" s="538"/>
      <c r="T636" s="538"/>
      <c r="U636" s="538"/>
      <c r="V636" s="530"/>
      <c r="W636" s="532"/>
      <c r="X636" s="531"/>
      <c r="Y636" s="531"/>
    </row>
    <row r="637" spans="1:25" ht="22.5" customHeight="1" x14ac:dyDescent="0.25">
      <c r="A637" s="526"/>
      <c r="B637" s="527"/>
      <c r="C637" s="527"/>
      <c r="D637" s="527"/>
      <c r="E637" s="527"/>
      <c r="F637" s="527"/>
      <c r="G637" s="527"/>
      <c r="H637" s="527"/>
      <c r="I637" s="527"/>
      <c r="J637" s="527"/>
      <c r="K637" s="528"/>
      <c r="L637" s="538"/>
      <c r="M637" s="538"/>
      <c r="N637" s="538"/>
      <c r="O637" s="538"/>
      <c r="P637" s="538"/>
      <c r="Q637" s="538"/>
      <c r="R637" s="538"/>
      <c r="S637" s="538"/>
      <c r="T637" s="538"/>
      <c r="U637" s="538"/>
      <c r="V637" s="530"/>
      <c r="W637" s="532"/>
      <c r="X637" s="531"/>
      <c r="Y637" s="531"/>
    </row>
    <row r="638" spans="1:25" ht="22.5" customHeight="1" x14ac:dyDescent="0.25">
      <c r="A638" s="526"/>
      <c r="B638" s="527"/>
      <c r="C638" s="527"/>
      <c r="D638" s="527"/>
      <c r="E638" s="527"/>
      <c r="F638" s="527"/>
      <c r="G638" s="527"/>
      <c r="H638" s="527"/>
      <c r="I638" s="527"/>
      <c r="J638" s="527"/>
      <c r="K638" s="528"/>
      <c r="L638" s="538"/>
      <c r="M638" s="538"/>
      <c r="N638" s="538"/>
      <c r="O638" s="538"/>
      <c r="P638" s="538"/>
      <c r="Q638" s="538"/>
      <c r="R638" s="538"/>
      <c r="S638" s="538"/>
      <c r="T638" s="538"/>
      <c r="U638" s="538"/>
      <c r="V638" s="530"/>
      <c r="W638" s="532"/>
      <c r="X638" s="531"/>
      <c r="Y638" s="531"/>
    </row>
    <row r="639" spans="1:25" ht="22.5" customHeight="1" x14ac:dyDescent="0.25">
      <c r="A639" s="526"/>
      <c r="B639" s="527"/>
      <c r="C639" s="527"/>
      <c r="D639" s="527"/>
      <c r="E639" s="527"/>
      <c r="F639" s="527"/>
      <c r="G639" s="527"/>
      <c r="H639" s="527"/>
      <c r="I639" s="527"/>
      <c r="J639" s="527"/>
      <c r="K639" s="528"/>
      <c r="L639" s="538"/>
      <c r="M639" s="538"/>
      <c r="N639" s="538"/>
      <c r="O639" s="538"/>
      <c r="P639" s="538"/>
      <c r="Q639" s="538"/>
      <c r="R639" s="538"/>
      <c r="S639" s="538"/>
      <c r="T639" s="538"/>
      <c r="U639" s="538"/>
      <c r="V639" s="530"/>
      <c r="W639" s="532"/>
      <c r="X639" s="531"/>
      <c r="Y639" s="531"/>
    </row>
    <row r="640" spans="1:25" ht="22.5" customHeight="1" x14ac:dyDescent="0.25">
      <c r="A640" s="526"/>
      <c r="B640" s="527"/>
      <c r="C640" s="527"/>
      <c r="D640" s="527"/>
      <c r="E640" s="527"/>
      <c r="F640" s="527"/>
      <c r="G640" s="527"/>
      <c r="H640" s="527"/>
      <c r="I640" s="527"/>
      <c r="J640" s="527"/>
      <c r="K640" s="528"/>
      <c r="L640" s="538"/>
      <c r="M640" s="538"/>
      <c r="N640" s="538"/>
      <c r="O640" s="538"/>
      <c r="P640" s="538"/>
      <c r="Q640" s="538"/>
      <c r="R640" s="538"/>
      <c r="S640" s="538"/>
      <c r="T640" s="538"/>
      <c r="U640" s="538"/>
      <c r="V640" s="530"/>
      <c r="W640" s="532"/>
      <c r="X640" s="531"/>
      <c r="Y640" s="531"/>
    </row>
    <row r="641" spans="1:25" ht="22.5" customHeight="1" x14ac:dyDescent="0.25">
      <c r="A641" s="526"/>
      <c r="B641" s="527"/>
      <c r="C641" s="527"/>
      <c r="D641" s="527"/>
      <c r="E641" s="527"/>
      <c r="F641" s="527"/>
      <c r="G641" s="527"/>
      <c r="H641" s="527"/>
      <c r="I641" s="527"/>
      <c r="J641" s="527"/>
      <c r="K641" s="528"/>
      <c r="L641" s="538"/>
      <c r="M641" s="538"/>
      <c r="N641" s="538"/>
      <c r="O641" s="538"/>
      <c r="P641" s="538"/>
      <c r="Q641" s="538"/>
      <c r="R641" s="538"/>
      <c r="S641" s="538"/>
      <c r="T641" s="538"/>
      <c r="U641" s="538"/>
      <c r="V641" s="530"/>
      <c r="W641" s="532"/>
      <c r="X641" s="531"/>
      <c r="Y641" s="531"/>
    </row>
    <row r="642" spans="1:25" ht="22.5" customHeight="1" x14ac:dyDescent="0.25">
      <c r="A642" s="526"/>
      <c r="B642" s="527"/>
      <c r="C642" s="527"/>
      <c r="D642" s="527"/>
      <c r="E642" s="527"/>
      <c r="F642" s="527"/>
      <c r="G642" s="527"/>
      <c r="H642" s="527"/>
      <c r="I642" s="527"/>
      <c r="J642" s="527"/>
      <c r="K642" s="528"/>
      <c r="L642" s="538"/>
      <c r="M642" s="538"/>
      <c r="N642" s="538"/>
      <c r="O642" s="538"/>
      <c r="P642" s="538"/>
      <c r="Q642" s="538"/>
      <c r="R642" s="538"/>
      <c r="S642" s="538"/>
      <c r="T642" s="538"/>
      <c r="U642" s="538"/>
      <c r="V642" s="530"/>
      <c r="W642" s="532"/>
      <c r="X642" s="531"/>
      <c r="Y642" s="531"/>
    </row>
    <row r="643" spans="1:25" ht="22.5" customHeight="1" x14ac:dyDescent="0.25">
      <c r="A643" s="526"/>
      <c r="B643" s="527"/>
      <c r="C643" s="527"/>
      <c r="D643" s="527"/>
      <c r="E643" s="527"/>
      <c r="F643" s="527"/>
      <c r="G643" s="527"/>
      <c r="H643" s="527"/>
      <c r="I643" s="527"/>
      <c r="J643" s="527"/>
      <c r="K643" s="528"/>
      <c r="L643" s="538"/>
      <c r="M643" s="538"/>
      <c r="N643" s="538"/>
      <c r="O643" s="538"/>
      <c r="P643" s="538"/>
      <c r="Q643" s="538"/>
      <c r="R643" s="538"/>
      <c r="S643" s="538"/>
      <c r="T643" s="538"/>
      <c r="U643" s="538"/>
      <c r="V643" s="530"/>
      <c r="W643" s="532"/>
      <c r="X643" s="531"/>
      <c r="Y643" s="531"/>
    </row>
    <row r="644" spans="1:25" ht="22.5" customHeight="1" x14ac:dyDescent="0.25">
      <c r="A644" s="526"/>
      <c r="B644" s="527"/>
      <c r="C644" s="527"/>
      <c r="D644" s="527"/>
      <c r="E644" s="527"/>
      <c r="F644" s="527"/>
      <c r="G644" s="527"/>
      <c r="H644" s="527"/>
      <c r="I644" s="527"/>
      <c r="J644" s="527"/>
      <c r="K644" s="528"/>
      <c r="L644" s="538"/>
      <c r="M644" s="538"/>
      <c r="N644" s="538"/>
      <c r="O644" s="538"/>
      <c r="P644" s="538"/>
      <c r="Q644" s="538"/>
      <c r="R644" s="538"/>
      <c r="S644" s="538"/>
      <c r="T644" s="538"/>
      <c r="U644" s="538"/>
      <c r="V644" s="530"/>
      <c r="W644" s="532"/>
      <c r="X644" s="531"/>
      <c r="Y644" s="531"/>
    </row>
    <row r="645" spans="1:25" ht="22.5" customHeight="1" x14ac:dyDescent="0.25">
      <c r="A645" s="526"/>
      <c r="B645" s="527"/>
      <c r="C645" s="527"/>
      <c r="D645" s="527"/>
      <c r="E645" s="527"/>
      <c r="F645" s="527"/>
      <c r="G645" s="527"/>
      <c r="H645" s="527"/>
      <c r="I645" s="527"/>
      <c r="J645" s="527"/>
      <c r="K645" s="528"/>
      <c r="L645" s="538"/>
      <c r="M645" s="538"/>
      <c r="N645" s="538"/>
      <c r="O645" s="538"/>
      <c r="P645" s="538"/>
      <c r="Q645" s="538"/>
      <c r="R645" s="538"/>
      <c r="S645" s="538"/>
      <c r="T645" s="538"/>
      <c r="U645" s="538"/>
      <c r="V645" s="530"/>
      <c r="W645" s="532"/>
      <c r="X645" s="531"/>
      <c r="Y645" s="531"/>
    </row>
    <row r="646" spans="1:25" s="174" customFormat="1" ht="22.5" customHeight="1" x14ac:dyDescent="0.25">
      <c r="A646" s="526"/>
      <c r="B646" s="527"/>
      <c r="C646" s="527"/>
      <c r="D646" s="527"/>
      <c r="E646" s="527"/>
      <c r="F646" s="527"/>
      <c r="G646" s="527"/>
      <c r="H646" s="532"/>
      <c r="I646" s="532"/>
      <c r="J646" s="532"/>
      <c r="K646" s="533"/>
      <c r="L646" s="537"/>
      <c r="M646" s="537"/>
      <c r="N646" s="537"/>
      <c r="O646" s="537"/>
      <c r="P646" s="537"/>
      <c r="Q646" s="537"/>
      <c r="R646" s="537"/>
      <c r="S646" s="537"/>
      <c r="T646" s="537"/>
      <c r="U646" s="537"/>
      <c r="V646" s="535"/>
      <c r="W646" s="532"/>
      <c r="X646" s="531"/>
      <c r="Y646" s="531"/>
    </row>
    <row r="647" spans="1:25" s="174" customFormat="1" ht="22.5" customHeight="1" x14ac:dyDescent="0.25">
      <c r="A647" s="526"/>
      <c r="B647" s="527"/>
      <c r="C647" s="527"/>
      <c r="D647" s="527"/>
      <c r="E647" s="527"/>
      <c r="F647" s="527"/>
      <c r="G647" s="527"/>
      <c r="H647" s="532"/>
      <c r="I647" s="532"/>
      <c r="J647" s="532"/>
      <c r="K647" s="533"/>
      <c r="L647" s="537"/>
      <c r="M647" s="537"/>
      <c r="N647" s="537"/>
      <c r="O647" s="537"/>
      <c r="P647" s="537"/>
      <c r="Q647" s="537"/>
      <c r="R647" s="537"/>
      <c r="S647" s="537"/>
      <c r="T647" s="537"/>
      <c r="U647" s="537"/>
      <c r="V647" s="535"/>
      <c r="W647" s="532"/>
      <c r="X647" s="531"/>
      <c r="Y647" s="531"/>
    </row>
    <row r="648" spans="1:25" s="174" customFormat="1" ht="22.5" customHeight="1" x14ac:dyDescent="0.25">
      <c r="A648" s="527"/>
      <c r="B648" s="527"/>
      <c r="C648" s="527"/>
      <c r="D648" s="527"/>
      <c r="E648" s="527"/>
      <c r="F648" s="527"/>
      <c r="G648" s="527"/>
      <c r="H648" s="532"/>
      <c r="I648" s="532"/>
      <c r="J648" s="532"/>
      <c r="K648" s="533"/>
      <c r="L648" s="537"/>
      <c r="M648" s="537"/>
      <c r="N648" s="537"/>
      <c r="O648" s="537"/>
      <c r="P648" s="537"/>
      <c r="Q648" s="537"/>
      <c r="R648" s="537"/>
      <c r="S648" s="537"/>
      <c r="T648" s="537"/>
      <c r="U648" s="537"/>
      <c r="V648" s="535"/>
      <c r="W648" s="532"/>
      <c r="X648" s="531"/>
      <c r="Y648" s="531"/>
    </row>
    <row r="649" spans="1:25" s="174" customFormat="1" ht="22.5" customHeight="1" x14ac:dyDescent="0.25">
      <c r="A649" s="526"/>
      <c r="B649" s="527"/>
      <c r="C649" s="527"/>
      <c r="D649" s="527"/>
      <c r="E649" s="527"/>
      <c r="F649" s="527"/>
      <c r="G649" s="527"/>
      <c r="H649" s="532"/>
      <c r="I649" s="532"/>
      <c r="J649" s="532"/>
      <c r="K649" s="533"/>
      <c r="L649" s="537"/>
      <c r="M649" s="537"/>
      <c r="N649" s="537"/>
      <c r="O649" s="537"/>
      <c r="P649" s="537"/>
      <c r="Q649" s="537"/>
      <c r="R649" s="537"/>
      <c r="S649" s="537"/>
      <c r="T649" s="537"/>
      <c r="U649" s="537"/>
      <c r="V649" s="535"/>
      <c r="W649" s="532"/>
      <c r="X649" s="531"/>
      <c r="Y649" s="531"/>
    </row>
    <row r="650" spans="1:25" ht="22.5" customHeight="1" x14ac:dyDescent="0.25">
      <c r="A650" s="526"/>
      <c r="B650" s="527"/>
      <c r="C650" s="527"/>
      <c r="D650" s="527"/>
      <c r="E650" s="527"/>
      <c r="F650" s="527"/>
      <c r="G650" s="527"/>
      <c r="H650" s="527"/>
      <c r="I650" s="527"/>
      <c r="J650" s="527"/>
      <c r="K650" s="528"/>
      <c r="L650" s="538"/>
      <c r="M650" s="538"/>
      <c r="N650" s="538"/>
      <c r="O650" s="538"/>
      <c r="P650" s="538"/>
      <c r="Q650" s="538"/>
      <c r="R650" s="538"/>
      <c r="S650" s="538"/>
      <c r="T650" s="538"/>
      <c r="U650" s="538"/>
      <c r="V650" s="530"/>
      <c r="W650" s="532"/>
      <c r="X650" s="531"/>
      <c r="Y650" s="531"/>
    </row>
    <row r="651" spans="1:25" ht="22.5" customHeight="1" x14ac:dyDescent="0.25">
      <c r="A651" s="526"/>
      <c r="B651" s="527"/>
      <c r="C651" s="527"/>
      <c r="D651" s="527"/>
      <c r="E651" s="527"/>
      <c r="F651" s="527"/>
      <c r="G651" s="527"/>
      <c r="H651" s="527"/>
      <c r="I651" s="527"/>
      <c r="J651" s="527"/>
      <c r="K651" s="528"/>
      <c r="L651" s="538"/>
      <c r="M651" s="538"/>
      <c r="N651" s="538"/>
      <c r="O651" s="538"/>
      <c r="P651" s="538"/>
      <c r="Q651" s="538"/>
      <c r="R651" s="538"/>
      <c r="S651" s="538"/>
      <c r="T651" s="538"/>
      <c r="U651" s="538"/>
      <c r="V651" s="530"/>
      <c r="W651" s="532"/>
      <c r="X651" s="531"/>
      <c r="Y651" s="531"/>
    </row>
    <row r="652" spans="1:25" ht="22.5" customHeight="1" x14ac:dyDescent="0.25">
      <c r="A652" s="526"/>
      <c r="B652" s="527"/>
      <c r="C652" s="527"/>
      <c r="D652" s="527"/>
      <c r="E652" s="527"/>
      <c r="F652" s="527"/>
      <c r="G652" s="527"/>
      <c r="H652" s="527"/>
      <c r="I652" s="527"/>
      <c r="J652" s="527"/>
      <c r="K652" s="528"/>
      <c r="L652" s="538"/>
      <c r="M652" s="538"/>
      <c r="N652" s="538"/>
      <c r="O652" s="538"/>
      <c r="P652" s="538"/>
      <c r="Q652" s="538"/>
      <c r="R652" s="538"/>
      <c r="S652" s="538"/>
      <c r="T652" s="538"/>
      <c r="U652" s="538"/>
      <c r="V652" s="530"/>
      <c r="W652" s="532"/>
      <c r="X652" s="531"/>
      <c r="Y652" s="531"/>
    </row>
    <row r="653" spans="1:25" ht="22.5" customHeight="1" x14ac:dyDescent="0.25">
      <c r="A653" s="526"/>
      <c r="B653" s="527"/>
      <c r="C653" s="527"/>
      <c r="D653" s="527"/>
      <c r="E653" s="527"/>
      <c r="F653" s="527"/>
      <c r="G653" s="527"/>
      <c r="H653" s="527"/>
      <c r="I653" s="527"/>
      <c r="J653" s="527"/>
      <c r="K653" s="528"/>
      <c r="L653" s="538"/>
      <c r="M653" s="538"/>
      <c r="N653" s="538"/>
      <c r="O653" s="538"/>
      <c r="P653" s="538"/>
      <c r="Q653" s="538"/>
      <c r="R653" s="538"/>
      <c r="S653" s="538"/>
      <c r="T653" s="538"/>
      <c r="U653" s="538"/>
      <c r="V653" s="530"/>
      <c r="W653" s="532"/>
      <c r="X653" s="531"/>
      <c r="Y653" s="531"/>
    </row>
    <row r="654" spans="1:25" ht="22.5" customHeight="1" x14ac:dyDescent="0.25">
      <c r="A654" s="526"/>
      <c r="B654" s="527"/>
      <c r="C654" s="527"/>
      <c r="D654" s="527"/>
      <c r="E654" s="527"/>
      <c r="F654" s="527"/>
      <c r="G654" s="527"/>
      <c r="H654" s="527"/>
      <c r="I654" s="527"/>
      <c r="J654" s="527"/>
      <c r="K654" s="528"/>
      <c r="L654" s="538"/>
      <c r="M654" s="538"/>
      <c r="N654" s="538"/>
      <c r="O654" s="538"/>
      <c r="P654" s="538"/>
      <c r="Q654" s="538"/>
      <c r="R654" s="538"/>
      <c r="S654" s="538"/>
      <c r="T654" s="538"/>
      <c r="U654" s="538"/>
      <c r="V654" s="530"/>
      <c r="W654" s="532"/>
      <c r="X654" s="531"/>
      <c r="Y654" s="531"/>
    </row>
    <row r="655" spans="1:25" ht="22.5" customHeight="1" x14ac:dyDescent="0.25">
      <c r="A655" s="526"/>
      <c r="B655" s="527"/>
      <c r="C655" s="527"/>
      <c r="D655" s="527"/>
      <c r="E655" s="527"/>
      <c r="F655" s="527"/>
      <c r="G655" s="527"/>
      <c r="H655" s="527"/>
      <c r="I655" s="527"/>
      <c r="J655" s="527"/>
      <c r="K655" s="528"/>
      <c r="L655" s="538"/>
      <c r="M655" s="538"/>
      <c r="N655" s="538"/>
      <c r="O655" s="538"/>
      <c r="P655" s="538"/>
      <c r="Q655" s="538"/>
      <c r="R655" s="538"/>
      <c r="S655" s="538"/>
      <c r="T655" s="538"/>
      <c r="U655" s="538"/>
      <c r="V655" s="530"/>
      <c r="W655" s="532"/>
      <c r="X655" s="531"/>
      <c r="Y655" s="531"/>
    </row>
    <row r="656" spans="1:25" ht="22.5" customHeight="1" x14ac:dyDescent="0.25">
      <c r="A656" s="526"/>
      <c r="B656" s="527"/>
      <c r="C656" s="527"/>
      <c r="D656" s="527"/>
      <c r="E656" s="527"/>
      <c r="F656" s="527"/>
      <c r="G656" s="527"/>
      <c r="H656" s="527"/>
      <c r="I656" s="527"/>
      <c r="J656" s="527"/>
      <c r="K656" s="528"/>
      <c r="L656" s="538"/>
      <c r="M656" s="538"/>
      <c r="N656" s="538"/>
      <c r="O656" s="538"/>
      <c r="P656" s="538"/>
      <c r="Q656" s="538"/>
      <c r="R656" s="538"/>
      <c r="S656" s="538"/>
      <c r="T656" s="538"/>
      <c r="U656" s="538"/>
      <c r="V656" s="530"/>
      <c r="W656" s="532"/>
      <c r="X656" s="531"/>
      <c r="Y656" s="531"/>
    </row>
    <row r="657" spans="1:25" ht="22.5" customHeight="1" x14ac:dyDescent="0.25">
      <c r="A657" s="526"/>
      <c r="B657" s="527"/>
      <c r="C657" s="527"/>
      <c r="D657" s="527"/>
      <c r="E657" s="527"/>
      <c r="F657" s="527"/>
      <c r="G657" s="527"/>
      <c r="H657" s="527"/>
      <c r="I657" s="527"/>
      <c r="J657" s="527"/>
      <c r="K657" s="528"/>
      <c r="L657" s="538"/>
      <c r="M657" s="538"/>
      <c r="N657" s="538"/>
      <c r="O657" s="538"/>
      <c r="P657" s="538"/>
      <c r="Q657" s="538"/>
      <c r="R657" s="538"/>
      <c r="S657" s="538"/>
      <c r="T657" s="538"/>
      <c r="U657" s="538"/>
      <c r="V657" s="530"/>
      <c r="W657" s="532"/>
      <c r="X657" s="531"/>
      <c r="Y657" s="531"/>
    </row>
    <row r="658" spans="1:25" ht="22.5" customHeight="1" x14ac:dyDescent="0.25">
      <c r="A658" s="526"/>
      <c r="B658" s="527"/>
      <c r="C658" s="527"/>
      <c r="D658" s="527"/>
      <c r="E658" s="527"/>
      <c r="F658" s="527"/>
      <c r="G658" s="527"/>
      <c r="H658" s="527"/>
      <c r="I658" s="527"/>
      <c r="J658" s="527"/>
      <c r="K658" s="528"/>
      <c r="L658" s="538"/>
      <c r="M658" s="538"/>
      <c r="N658" s="538"/>
      <c r="O658" s="538"/>
      <c r="P658" s="538"/>
      <c r="Q658" s="538"/>
      <c r="R658" s="538"/>
      <c r="S658" s="538"/>
      <c r="T658" s="538"/>
      <c r="U658" s="538"/>
      <c r="V658" s="530"/>
      <c r="W658" s="532"/>
      <c r="X658" s="531"/>
      <c r="Y658" s="531"/>
    </row>
    <row r="659" spans="1:25" ht="22.5" customHeight="1" x14ac:dyDescent="0.25">
      <c r="A659" s="526"/>
      <c r="B659" s="527"/>
      <c r="C659" s="527"/>
      <c r="D659" s="527"/>
      <c r="E659" s="527"/>
      <c r="F659" s="527"/>
      <c r="G659" s="527"/>
      <c r="H659" s="527"/>
      <c r="I659" s="527"/>
      <c r="J659" s="527"/>
      <c r="K659" s="528"/>
      <c r="L659" s="538"/>
      <c r="M659" s="538"/>
      <c r="N659" s="538"/>
      <c r="O659" s="538"/>
      <c r="P659" s="538"/>
      <c r="Q659" s="538"/>
      <c r="R659" s="538"/>
      <c r="S659" s="538"/>
      <c r="T659" s="538"/>
      <c r="U659" s="538"/>
      <c r="V659" s="530"/>
      <c r="W659" s="532"/>
      <c r="X659" s="531"/>
      <c r="Y659" s="531"/>
    </row>
    <row r="660" spans="1:25" ht="22.5" customHeight="1" thickBot="1" x14ac:dyDescent="0.3">
      <c r="A660" s="539"/>
      <c r="B660" s="540"/>
      <c r="C660" s="540"/>
      <c r="D660" s="540"/>
      <c r="E660" s="540"/>
      <c r="F660" s="540"/>
      <c r="G660" s="540"/>
      <c r="H660" s="540"/>
      <c r="I660" s="540"/>
      <c r="J660" s="540"/>
      <c r="K660" s="541"/>
      <c r="L660" s="542"/>
      <c r="M660" s="542"/>
      <c r="N660" s="542"/>
      <c r="O660" s="542"/>
      <c r="P660" s="542"/>
      <c r="Q660" s="542"/>
      <c r="R660" s="542"/>
      <c r="S660" s="542"/>
      <c r="T660" s="542"/>
      <c r="U660" s="542"/>
      <c r="V660" s="543"/>
      <c r="W660" s="599"/>
      <c r="X660" s="544"/>
      <c r="Y660" s="544"/>
    </row>
    <row r="661" spans="1:25" ht="22.5" customHeight="1" thickTop="1" thickBot="1" x14ac:dyDescent="0.3">
      <c r="A661" s="425"/>
      <c r="B661" s="505"/>
      <c r="C661" s="505"/>
      <c r="D661" s="505"/>
      <c r="E661" s="505"/>
      <c r="F661" s="505"/>
      <c r="G661" s="505"/>
      <c r="H661" s="505"/>
      <c r="I661" s="505"/>
      <c r="J661" s="505"/>
      <c r="K661" s="502"/>
      <c r="L661" s="429"/>
      <c r="M661" s="429"/>
      <c r="N661" s="429"/>
      <c r="O661" s="429"/>
      <c r="P661" s="429"/>
      <c r="Q661" s="429"/>
      <c r="R661" s="429"/>
      <c r="S661" s="429"/>
      <c r="T661" s="429"/>
      <c r="U661" s="429"/>
      <c r="V661" s="507"/>
      <c r="W661" s="519"/>
      <c r="X661" s="522"/>
      <c r="Y661" s="522"/>
    </row>
    <row r="662" spans="1:25" ht="22.5" customHeight="1" thickTop="1" thickBot="1" x14ac:dyDescent="0.3">
      <c r="A662" s="425"/>
      <c r="B662" s="505"/>
      <c r="C662" s="505"/>
      <c r="D662" s="505"/>
      <c r="E662" s="505"/>
      <c r="F662" s="505"/>
      <c r="G662" s="505"/>
      <c r="H662" s="505"/>
      <c r="I662" s="505"/>
      <c r="J662" s="505"/>
      <c r="K662" s="502"/>
      <c r="L662" s="429"/>
      <c r="M662" s="429"/>
      <c r="N662" s="429"/>
      <c r="O662" s="429"/>
      <c r="P662" s="429"/>
      <c r="Q662" s="429"/>
      <c r="R662" s="429"/>
      <c r="S662" s="429"/>
      <c r="T662" s="429"/>
      <c r="U662" s="429"/>
      <c r="V662" s="507"/>
      <c r="W662" s="519"/>
      <c r="X662" s="522"/>
      <c r="Y662" s="522"/>
    </row>
    <row r="663" spans="1:25" ht="22.5" customHeight="1" thickTop="1" thickBot="1" x14ac:dyDescent="0.3">
      <c r="A663" s="425"/>
      <c r="B663" s="505"/>
      <c r="C663" s="505"/>
      <c r="D663" s="505"/>
      <c r="E663" s="505"/>
      <c r="F663" s="505"/>
      <c r="G663" s="505"/>
      <c r="H663" s="505"/>
      <c r="I663" s="505"/>
      <c r="J663" s="505"/>
      <c r="K663" s="502"/>
      <c r="L663" s="429"/>
      <c r="M663" s="429"/>
      <c r="N663" s="429"/>
      <c r="O663" s="429"/>
      <c r="P663" s="429"/>
      <c r="Q663" s="429"/>
      <c r="R663" s="429"/>
      <c r="S663" s="429"/>
      <c r="T663" s="429"/>
      <c r="U663" s="429"/>
      <c r="V663" s="507"/>
      <c r="W663" s="519"/>
      <c r="X663" s="522"/>
      <c r="Y663" s="522"/>
    </row>
    <row r="664" spans="1:25" ht="22.5" customHeight="1" thickTop="1" thickBot="1" x14ac:dyDescent="0.3">
      <c r="A664" s="425"/>
      <c r="B664" s="505"/>
      <c r="C664" s="505"/>
      <c r="D664" s="505"/>
      <c r="E664" s="505"/>
      <c r="F664" s="505"/>
      <c r="G664" s="505"/>
      <c r="H664" s="505"/>
      <c r="I664" s="505"/>
      <c r="J664" s="505"/>
      <c r="K664" s="502"/>
      <c r="L664" s="429"/>
      <c r="M664" s="429"/>
      <c r="N664" s="429"/>
      <c r="O664" s="429"/>
      <c r="P664" s="429"/>
      <c r="Q664" s="429"/>
      <c r="R664" s="429"/>
      <c r="S664" s="429"/>
      <c r="T664" s="429"/>
      <c r="U664" s="429"/>
      <c r="V664" s="507"/>
      <c r="W664" s="519"/>
      <c r="X664" s="522"/>
      <c r="Y664" s="522"/>
    </row>
    <row r="665" spans="1:25" ht="22.5" customHeight="1" thickTop="1" thickBot="1" x14ac:dyDescent="0.3">
      <c r="A665" s="425"/>
      <c r="B665" s="505"/>
      <c r="C665" s="505"/>
      <c r="D665" s="505"/>
      <c r="E665" s="505"/>
      <c r="F665" s="505"/>
      <c r="G665" s="505"/>
      <c r="H665" s="505"/>
      <c r="I665" s="505"/>
      <c r="J665" s="505"/>
      <c r="K665" s="502"/>
      <c r="L665" s="429"/>
      <c r="M665" s="429"/>
      <c r="N665" s="429"/>
      <c r="O665" s="429"/>
      <c r="P665" s="429"/>
      <c r="Q665" s="429"/>
      <c r="R665" s="429"/>
      <c r="S665" s="429"/>
      <c r="T665" s="429"/>
      <c r="U665" s="429"/>
      <c r="V665" s="507"/>
      <c r="W665" s="519"/>
      <c r="X665" s="522"/>
      <c r="Y665" s="522"/>
    </row>
    <row r="666" spans="1:25" ht="22.5" customHeight="1" thickTop="1" thickBot="1" x14ac:dyDescent="0.3">
      <c r="A666" s="425"/>
      <c r="B666" s="505"/>
      <c r="C666" s="505"/>
      <c r="D666" s="505"/>
      <c r="E666" s="505"/>
      <c r="F666" s="505"/>
      <c r="G666" s="505"/>
      <c r="H666" s="505"/>
      <c r="I666" s="505"/>
      <c r="J666" s="505"/>
      <c r="K666" s="502"/>
      <c r="L666" s="429"/>
      <c r="M666" s="429"/>
      <c r="N666" s="429"/>
      <c r="O666" s="429"/>
      <c r="P666" s="429"/>
      <c r="Q666" s="429"/>
      <c r="R666" s="429"/>
      <c r="S666" s="429"/>
      <c r="T666" s="429"/>
      <c r="U666" s="429"/>
      <c r="V666" s="507"/>
      <c r="W666" s="519"/>
      <c r="X666" s="522"/>
      <c r="Y666" s="522"/>
    </row>
    <row r="667" spans="1:25" ht="22.5" customHeight="1" thickTop="1" thickBot="1" x14ac:dyDescent="0.3">
      <c r="A667" s="425"/>
      <c r="B667" s="505"/>
      <c r="C667" s="505"/>
      <c r="D667" s="505"/>
      <c r="E667" s="505"/>
      <c r="F667" s="505"/>
      <c r="G667" s="505"/>
      <c r="H667" s="505"/>
      <c r="I667" s="505"/>
      <c r="J667" s="505"/>
      <c r="K667" s="502"/>
      <c r="L667" s="429"/>
      <c r="M667" s="429"/>
      <c r="N667" s="429"/>
      <c r="O667" s="429"/>
      <c r="P667" s="429"/>
      <c r="Q667" s="429"/>
      <c r="R667" s="429"/>
      <c r="S667" s="429"/>
      <c r="T667" s="429"/>
      <c r="U667" s="429"/>
      <c r="V667" s="507"/>
      <c r="W667" s="519"/>
      <c r="X667" s="522"/>
      <c r="Y667" s="522"/>
    </row>
    <row r="668" spans="1:25" ht="22.5" customHeight="1" thickTop="1" thickBot="1" x14ac:dyDescent="0.3">
      <c r="A668" s="425"/>
      <c r="B668" s="505"/>
      <c r="C668" s="505"/>
      <c r="D668" s="505"/>
      <c r="E668" s="505"/>
      <c r="F668" s="505"/>
      <c r="G668" s="505"/>
      <c r="H668" s="505"/>
      <c r="I668" s="505"/>
      <c r="J668" s="505"/>
      <c r="K668" s="502"/>
      <c r="L668" s="429"/>
      <c r="M668" s="429"/>
      <c r="N668" s="429"/>
      <c r="O668" s="429"/>
      <c r="P668" s="429"/>
      <c r="Q668" s="429"/>
      <c r="R668" s="429"/>
      <c r="S668" s="429"/>
      <c r="T668" s="429"/>
      <c r="U668" s="429"/>
      <c r="V668" s="507"/>
      <c r="W668" s="519"/>
      <c r="X668" s="522"/>
      <c r="Y668" s="522"/>
    </row>
    <row r="669" spans="1:25" ht="22.5" customHeight="1" thickTop="1" thickBot="1" x14ac:dyDescent="0.3">
      <c r="A669" s="425"/>
      <c r="B669" s="505"/>
      <c r="C669" s="505"/>
      <c r="D669" s="505"/>
      <c r="E669" s="505"/>
      <c r="F669" s="505"/>
      <c r="G669" s="505"/>
      <c r="H669" s="505"/>
      <c r="I669" s="505"/>
      <c r="J669" s="505"/>
      <c r="K669" s="502"/>
      <c r="L669" s="429"/>
      <c r="M669" s="429"/>
      <c r="N669" s="429"/>
      <c r="O669" s="429"/>
      <c r="P669" s="429"/>
      <c r="Q669" s="429"/>
      <c r="R669" s="429"/>
      <c r="S669" s="429"/>
      <c r="T669" s="429"/>
      <c r="U669" s="429"/>
      <c r="V669" s="507"/>
      <c r="W669" s="519"/>
      <c r="X669" s="522"/>
      <c r="Y669" s="522"/>
    </row>
    <row r="670" spans="1:25" ht="22.5" customHeight="1" thickTop="1" thickBot="1" x14ac:dyDescent="0.3">
      <c r="A670" s="425"/>
      <c r="B670" s="505"/>
      <c r="C670" s="505"/>
      <c r="D670" s="505"/>
      <c r="E670" s="505"/>
      <c r="F670" s="505"/>
      <c r="G670" s="505"/>
      <c r="H670" s="505"/>
      <c r="I670" s="505"/>
      <c r="J670" s="505"/>
      <c r="K670" s="502"/>
      <c r="L670" s="429"/>
      <c r="M670" s="429"/>
      <c r="N670" s="429"/>
      <c r="O670" s="429"/>
      <c r="P670" s="429"/>
      <c r="Q670" s="429"/>
      <c r="R670" s="429"/>
      <c r="S670" s="429"/>
      <c r="T670" s="429"/>
      <c r="U670" s="429"/>
      <c r="V670" s="507"/>
      <c r="W670" s="519"/>
      <c r="X670" s="522"/>
      <c r="Y670" s="522"/>
    </row>
    <row r="671" spans="1:25" ht="22.5" customHeight="1" thickTop="1" thickBot="1" x14ac:dyDescent="0.3">
      <c r="A671" s="425"/>
      <c r="B671" s="505"/>
      <c r="C671" s="505"/>
      <c r="D671" s="505"/>
      <c r="E671" s="505"/>
      <c r="F671" s="505"/>
      <c r="G671" s="505"/>
      <c r="H671" s="505"/>
      <c r="I671" s="505"/>
      <c r="J671" s="505"/>
      <c r="K671" s="502"/>
      <c r="L671" s="429"/>
      <c r="M671" s="429"/>
      <c r="N671" s="429"/>
      <c r="O671" s="429"/>
      <c r="P671" s="429"/>
      <c r="Q671" s="429"/>
      <c r="R671" s="429"/>
      <c r="S671" s="429"/>
      <c r="T671" s="429"/>
      <c r="U671" s="429"/>
      <c r="V671" s="507"/>
      <c r="W671" s="519"/>
      <c r="X671" s="522"/>
      <c r="Y671" s="522"/>
    </row>
    <row r="672" spans="1:25" ht="22.5" customHeight="1" thickTop="1" thickBot="1" x14ac:dyDescent="0.3">
      <c r="A672" s="425"/>
      <c r="B672" s="505"/>
      <c r="C672" s="505"/>
      <c r="D672" s="505"/>
      <c r="E672" s="505"/>
      <c r="F672" s="505"/>
      <c r="G672" s="505"/>
      <c r="H672" s="505"/>
      <c r="I672" s="505"/>
      <c r="J672" s="505"/>
      <c r="K672" s="502"/>
      <c r="L672" s="429"/>
      <c r="M672" s="429"/>
      <c r="N672" s="429"/>
      <c r="O672" s="429"/>
      <c r="P672" s="429"/>
      <c r="Q672" s="429"/>
      <c r="R672" s="429"/>
      <c r="S672" s="429"/>
      <c r="T672" s="429"/>
      <c r="U672" s="429"/>
      <c r="V672" s="507"/>
      <c r="W672" s="519"/>
      <c r="X672" s="522"/>
      <c r="Y672" s="522"/>
    </row>
    <row r="673" spans="1:25" ht="22.5" customHeight="1" thickTop="1" thickBot="1" x14ac:dyDescent="0.3">
      <c r="A673" s="425"/>
      <c r="B673" s="505"/>
      <c r="C673" s="505"/>
      <c r="D673" s="505"/>
      <c r="E673" s="505"/>
      <c r="F673" s="505"/>
      <c r="G673" s="505"/>
      <c r="H673" s="505"/>
      <c r="I673" s="505"/>
      <c r="J673" s="505"/>
      <c r="K673" s="502"/>
      <c r="L673" s="429"/>
      <c r="M673" s="429"/>
      <c r="N673" s="429"/>
      <c r="O673" s="429"/>
      <c r="P673" s="429"/>
      <c r="Q673" s="429"/>
      <c r="R673" s="429"/>
      <c r="S673" s="429"/>
      <c r="T673" s="429"/>
      <c r="U673" s="429"/>
      <c r="V673" s="507"/>
      <c r="W673" s="519"/>
      <c r="X673" s="522"/>
      <c r="Y673" s="522"/>
    </row>
    <row r="674" spans="1:25" s="174" customFormat="1" ht="22.5" customHeight="1" thickTop="1" thickBot="1" x14ac:dyDescent="0.3">
      <c r="A674" s="425"/>
      <c r="B674" s="505"/>
      <c r="C674" s="505"/>
      <c r="D674" s="505"/>
      <c r="E674" s="505"/>
      <c r="F674" s="505"/>
      <c r="G674" s="505"/>
      <c r="H674" s="519"/>
      <c r="I674" s="519"/>
      <c r="J674" s="519"/>
      <c r="K674" s="501"/>
      <c r="L674" s="428"/>
      <c r="M674" s="428"/>
      <c r="N674" s="428"/>
      <c r="O674" s="428"/>
      <c r="P674" s="428"/>
      <c r="Q674" s="428"/>
      <c r="R674" s="428"/>
      <c r="S674" s="428"/>
      <c r="T674" s="428"/>
      <c r="U674" s="428"/>
      <c r="V674" s="506"/>
      <c r="W674" s="519"/>
      <c r="X674" s="522"/>
      <c r="Y674" s="522"/>
    </row>
    <row r="675" spans="1:25" ht="22.5" customHeight="1" thickTop="1" thickBot="1" x14ac:dyDescent="0.3">
      <c r="A675" s="425"/>
      <c r="B675" s="505"/>
      <c r="C675" s="505"/>
      <c r="D675" s="505"/>
      <c r="E675" s="505"/>
      <c r="F675" s="505"/>
      <c r="G675" s="505"/>
      <c r="H675" s="505"/>
      <c r="I675" s="505"/>
      <c r="J675" s="505"/>
      <c r="K675" s="502"/>
      <c r="L675" s="429"/>
      <c r="M675" s="429"/>
      <c r="N675" s="429"/>
      <c r="O675" s="429"/>
      <c r="P675" s="429"/>
      <c r="Q675" s="429"/>
      <c r="R675" s="429"/>
      <c r="S675" s="429"/>
      <c r="T675" s="429"/>
      <c r="U675" s="429"/>
      <c r="V675" s="507"/>
      <c r="W675" s="519"/>
      <c r="X675" s="522"/>
      <c r="Y675" s="522"/>
    </row>
    <row r="676" spans="1:25" ht="22.5" customHeight="1" thickTop="1" thickBot="1" x14ac:dyDescent="0.3">
      <c r="A676" s="425"/>
      <c r="B676" s="505"/>
      <c r="C676" s="505"/>
      <c r="D676" s="505"/>
      <c r="E676" s="505"/>
      <c r="F676" s="505"/>
      <c r="G676" s="505"/>
      <c r="H676" s="505"/>
      <c r="I676" s="505"/>
      <c r="J676" s="505"/>
      <c r="K676" s="502"/>
      <c r="L676" s="429"/>
      <c r="M676" s="429"/>
      <c r="N676" s="429"/>
      <c r="O676" s="429"/>
      <c r="P676" s="429"/>
      <c r="Q676" s="429"/>
      <c r="R676" s="429"/>
      <c r="S676" s="429"/>
      <c r="T676" s="429"/>
      <c r="U676" s="429"/>
      <c r="V676" s="507"/>
      <c r="W676" s="519"/>
      <c r="X676" s="522"/>
      <c r="Y676" s="522"/>
    </row>
    <row r="677" spans="1:25" ht="22.5" customHeight="1" thickTop="1" thickBot="1" x14ac:dyDescent="0.3">
      <c r="A677" s="425"/>
      <c r="B677" s="505"/>
      <c r="C677" s="505"/>
      <c r="D677" s="505"/>
      <c r="E677" s="505"/>
      <c r="F677" s="505"/>
      <c r="G677" s="505"/>
      <c r="H677" s="505"/>
      <c r="I677" s="505"/>
      <c r="J677" s="505"/>
      <c r="K677" s="502"/>
      <c r="L677" s="429"/>
      <c r="M677" s="429"/>
      <c r="N677" s="429"/>
      <c r="O677" s="429"/>
      <c r="P677" s="429"/>
      <c r="Q677" s="429"/>
      <c r="R677" s="429"/>
      <c r="S677" s="429"/>
      <c r="T677" s="429"/>
      <c r="U677" s="429"/>
      <c r="V677" s="507"/>
      <c r="W677" s="519"/>
      <c r="X677" s="522"/>
      <c r="Y677" s="522"/>
    </row>
    <row r="678" spans="1:25" ht="22.5" customHeight="1" thickTop="1" thickBot="1" x14ac:dyDescent="0.3">
      <c r="A678" s="425"/>
      <c r="B678" s="505"/>
      <c r="C678" s="505"/>
      <c r="D678" s="505"/>
      <c r="E678" s="505"/>
      <c r="F678" s="505"/>
      <c r="G678" s="505"/>
      <c r="H678" s="505"/>
      <c r="I678" s="505"/>
      <c r="J678" s="505"/>
      <c r="K678" s="502"/>
      <c r="L678" s="429"/>
      <c r="M678" s="429"/>
      <c r="N678" s="429"/>
      <c r="O678" s="429"/>
      <c r="P678" s="429"/>
      <c r="Q678" s="429"/>
      <c r="R678" s="429"/>
      <c r="S678" s="429"/>
      <c r="T678" s="429"/>
      <c r="U678" s="429"/>
      <c r="V678" s="507"/>
      <c r="W678" s="519"/>
      <c r="X678" s="522"/>
      <c r="Y678" s="522"/>
    </row>
    <row r="679" spans="1:25" ht="22.5" customHeight="1" thickTop="1" thickBot="1" x14ac:dyDescent="0.3">
      <c r="A679" s="425"/>
      <c r="B679" s="505"/>
      <c r="C679" s="505"/>
      <c r="D679" s="505"/>
      <c r="E679" s="505"/>
      <c r="F679" s="505"/>
      <c r="G679" s="505"/>
      <c r="H679" s="505"/>
      <c r="I679" s="505"/>
      <c r="J679" s="505"/>
      <c r="K679" s="502"/>
      <c r="L679" s="429"/>
      <c r="M679" s="429"/>
      <c r="N679" s="429"/>
      <c r="O679" s="429"/>
      <c r="P679" s="429"/>
      <c r="Q679" s="429"/>
      <c r="R679" s="429"/>
      <c r="S679" s="429"/>
      <c r="T679" s="429"/>
      <c r="U679" s="429"/>
      <c r="V679" s="507"/>
      <c r="W679" s="519"/>
      <c r="X679" s="522"/>
      <c r="Y679" s="522"/>
    </row>
    <row r="680" spans="1:25" ht="22.5" customHeight="1" thickTop="1" thickBot="1" x14ac:dyDescent="0.3">
      <c r="A680" s="425"/>
      <c r="B680" s="505"/>
      <c r="C680" s="505"/>
      <c r="D680" s="505"/>
      <c r="E680" s="505"/>
      <c r="F680" s="505"/>
      <c r="G680" s="505"/>
      <c r="H680" s="505"/>
      <c r="I680" s="505"/>
      <c r="J680" s="505"/>
      <c r="K680" s="502"/>
      <c r="L680" s="429"/>
      <c r="M680" s="429"/>
      <c r="N680" s="429"/>
      <c r="O680" s="429"/>
      <c r="P680" s="429"/>
      <c r="Q680" s="429"/>
      <c r="R680" s="429"/>
      <c r="S680" s="429"/>
      <c r="T680" s="429"/>
      <c r="U680" s="429"/>
      <c r="V680" s="507"/>
      <c r="W680" s="519"/>
      <c r="X680" s="522"/>
      <c r="Y680" s="522"/>
    </row>
    <row r="681" spans="1:25" ht="22.5" customHeight="1" thickTop="1" thickBot="1" x14ac:dyDescent="0.3">
      <c r="A681" s="425"/>
      <c r="B681" s="505"/>
      <c r="C681" s="505"/>
      <c r="D681" s="505"/>
      <c r="E681" s="505"/>
      <c r="F681" s="505"/>
      <c r="G681" s="505"/>
      <c r="H681" s="505"/>
      <c r="I681" s="505"/>
      <c r="J681" s="505"/>
      <c r="K681" s="502"/>
      <c r="L681" s="429"/>
      <c r="M681" s="429"/>
      <c r="N681" s="429"/>
      <c r="O681" s="429"/>
      <c r="P681" s="429"/>
      <c r="Q681" s="429"/>
      <c r="R681" s="429"/>
      <c r="S681" s="429"/>
      <c r="T681" s="429"/>
      <c r="U681" s="429"/>
      <c r="V681" s="507"/>
      <c r="W681" s="519"/>
      <c r="X681" s="522"/>
      <c r="Y681" s="522"/>
    </row>
    <row r="682" spans="1:25" ht="22.5" customHeight="1" thickTop="1" thickBot="1" x14ac:dyDescent="0.3">
      <c r="A682" s="425"/>
      <c r="B682" s="505"/>
      <c r="C682" s="505"/>
      <c r="D682" s="505"/>
      <c r="E682" s="505"/>
      <c r="F682" s="505"/>
      <c r="G682" s="505"/>
      <c r="H682" s="505"/>
      <c r="I682" s="505"/>
      <c r="J682" s="505"/>
      <c r="K682" s="502"/>
      <c r="L682" s="429"/>
      <c r="M682" s="429"/>
      <c r="N682" s="429"/>
      <c r="O682" s="429"/>
      <c r="P682" s="429"/>
      <c r="Q682" s="429"/>
      <c r="R682" s="429"/>
      <c r="S682" s="429"/>
      <c r="T682" s="429"/>
      <c r="U682" s="429"/>
      <c r="V682" s="507"/>
      <c r="W682" s="519"/>
      <c r="X682" s="522"/>
      <c r="Y682" s="522"/>
    </row>
    <row r="683" spans="1:25" ht="22.5" customHeight="1" thickTop="1" thickBot="1" x14ac:dyDescent="0.3">
      <c r="A683" s="425"/>
      <c r="B683" s="505"/>
      <c r="C683" s="505"/>
      <c r="D683" s="505"/>
      <c r="E683" s="505"/>
      <c r="F683" s="505"/>
      <c r="G683" s="505"/>
      <c r="H683" s="505"/>
      <c r="I683" s="505"/>
      <c r="J683" s="505"/>
      <c r="K683" s="502"/>
      <c r="L683" s="429"/>
      <c r="M683" s="429"/>
      <c r="N683" s="429"/>
      <c r="O683" s="429"/>
      <c r="P683" s="429"/>
      <c r="Q683" s="429"/>
      <c r="R683" s="429"/>
      <c r="S683" s="429"/>
      <c r="T683" s="429"/>
      <c r="U683" s="429"/>
      <c r="V683" s="507"/>
      <c r="W683" s="519"/>
      <c r="X683" s="522"/>
      <c r="Y683" s="522"/>
    </row>
    <row r="684" spans="1:25" ht="22.5" customHeight="1" thickTop="1" thickBot="1" x14ac:dyDescent="0.3">
      <c r="A684" s="425"/>
      <c r="B684" s="505"/>
      <c r="C684" s="505"/>
      <c r="D684" s="505"/>
      <c r="E684" s="505"/>
      <c r="F684" s="505"/>
      <c r="G684" s="505"/>
      <c r="H684" s="505"/>
      <c r="I684" s="505"/>
      <c r="J684" s="505"/>
      <c r="K684" s="502"/>
      <c r="L684" s="429"/>
      <c r="M684" s="429"/>
      <c r="N684" s="429"/>
      <c r="O684" s="429"/>
      <c r="P684" s="429"/>
      <c r="Q684" s="429"/>
      <c r="R684" s="429"/>
      <c r="S684" s="429"/>
      <c r="T684" s="429"/>
      <c r="U684" s="429"/>
      <c r="V684" s="507"/>
      <c r="W684" s="519"/>
      <c r="X684" s="522"/>
      <c r="Y684" s="522"/>
    </row>
    <row r="685" spans="1:25" ht="22.5" customHeight="1" thickTop="1" thickBot="1" x14ac:dyDescent="0.3">
      <c r="A685" s="425"/>
      <c r="B685" s="505"/>
      <c r="C685" s="505"/>
      <c r="D685" s="505"/>
      <c r="E685" s="505"/>
      <c r="F685" s="505"/>
      <c r="G685" s="505"/>
      <c r="H685" s="505"/>
      <c r="I685" s="505"/>
      <c r="J685" s="505"/>
      <c r="K685" s="502"/>
      <c r="L685" s="429"/>
      <c r="M685" s="429"/>
      <c r="N685" s="429"/>
      <c r="O685" s="429"/>
      <c r="P685" s="429"/>
      <c r="Q685" s="429"/>
      <c r="R685" s="429"/>
      <c r="S685" s="429"/>
      <c r="T685" s="429"/>
      <c r="U685" s="429"/>
      <c r="V685" s="507"/>
      <c r="W685" s="519"/>
      <c r="X685" s="522"/>
      <c r="Y685" s="522"/>
    </row>
    <row r="686" spans="1:25" ht="22.5" customHeight="1" thickTop="1" thickBot="1" x14ac:dyDescent="0.3">
      <c r="A686" s="425"/>
      <c r="B686" s="505"/>
      <c r="C686" s="505"/>
      <c r="D686" s="505"/>
      <c r="E686" s="505"/>
      <c r="F686" s="505"/>
      <c r="G686" s="505"/>
      <c r="H686" s="505"/>
      <c r="I686" s="505"/>
      <c r="J686" s="505"/>
      <c r="K686" s="502"/>
      <c r="L686" s="429"/>
      <c r="M686" s="429"/>
      <c r="N686" s="429"/>
      <c r="O686" s="429"/>
      <c r="P686" s="429"/>
      <c r="Q686" s="429"/>
      <c r="R686" s="429"/>
      <c r="S686" s="429"/>
      <c r="T686" s="429"/>
      <c r="U686" s="429"/>
      <c r="V686" s="507"/>
      <c r="W686" s="519"/>
      <c r="X686" s="522"/>
      <c r="Y686" s="522"/>
    </row>
    <row r="687" spans="1:25" ht="22.5" customHeight="1" thickTop="1" thickBot="1" x14ac:dyDescent="0.3">
      <c r="A687" s="425"/>
      <c r="B687" s="505"/>
      <c r="C687" s="505"/>
      <c r="D687" s="505"/>
      <c r="E687" s="505"/>
      <c r="F687" s="505"/>
      <c r="G687" s="505"/>
      <c r="H687" s="505"/>
      <c r="I687" s="505"/>
      <c r="J687" s="505"/>
      <c r="K687" s="502"/>
      <c r="L687" s="429"/>
      <c r="M687" s="429"/>
      <c r="N687" s="429"/>
      <c r="O687" s="429"/>
      <c r="P687" s="429"/>
      <c r="Q687" s="429"/>
      <c r="R687" s="429"/>
      <c r="S687" s="429"/>
      <c r="T687" s="429"/>
      <c r="U687" s="429"/>
      <c r="V687" s="507"/>
      <c r="W687" s="519"/>
      <c r="X687" s="522"/>
      <c r="Y687" s="522"/>
    </row>
    <row r="688" spans="1:25" ht="22.5" customHeight="1" thickTop="1" thickBot="1" x14ac:dyDescent="0.3">
      <c r="A688" s="425"/>
      <c r="B688" s="505"/>
      <c r="C688" s="505"/>
      <c r="D688" s="505"/>
      <c r="E688" s="505"/>
      <c r="F688" s="505"/>
      <c r="G688" s="505"/>
      <c r="H688" s="505"/>
      <c r="I688" s="505"/>
      <c r="J688" s="505"/>
      <c r="K688" s="502"/>
      <c r="L688" s="429"/>
      <c r="M688" s="429"/>
      <c r="N688" s="429"/>
      <c r="O688" s="429"/>
      <c r="P688" s="429"/>
      <c r="Q688" s="429"/>
      <c r="R688" s="429"/>
      <c r="S688" s="429"/>
      <c r="T688" s="429"/>
      <c r="U688" s="429"/>
      <c r="V688" s="507"/>
      <c r="W688" s="519"/>
      <c r="X688" s="522"/>
      <c r="Y688" s="522"/>
    </row>
    <row r="689" spans="1:25" ht="22.5" customHeight="1" thickTop="1" thickBot="1" x14ac:dyDescent="0.3">
      <c r="A689" s="425"/>
      <c r="B689" s="505"/>
      <c r="C689" s="505"/>
      <c r="D689" s="505"/>
      <c r="E689" s="505"/>
      <c r="F689" s="505"/>
      <c r="G689" s="505"/>
      <c r="H689" s="505"/>
      <c r="I689" s="505"/>
      <c r="J689" s="505"/>
      <c r="K689" s="502"/>
      <c r="L689" s="429"/>
      <c r="M689" s="429"/>
      <c r="N689" s="429"/>
      <c r="O689" s="429"/>
      <c r="P689" s="429"/>
      <c r="Q689" s="429"/>
      <c r="R689" s="429"/>
      <c r="S689" s="429"/>
      <c r="T689" s="429"/>
      <c r="U689" s="429"/>
      <c r="V689" s="507"/>
      <c r="W689" s="519"/>
      <c r="X689" s="522"/>
      <c r="Y689" s="522"/>
    </row>
    <row r="690" spans="1:25" ht="22.5" customHeight="1" thickTop="1" thickBot="1" x14ac:dyDescent="0.3">
      <c r="A690" s="425"/>
      <c r="B690" s="505"/>
      <c r="C690" s="505"/>
      <c r="D690" s="505"/>
      <c r="E690" s="505"/>
      <c r="F690" s="505"/>
      <c r="G690" s="505"/>
      <c r="H690" s="505"/>
      <c r="I690" s="505"/>
      <c r="J690" s="505"/>
      <c r="K690" s="502"/>
      <c r="L690" s="429"/>
      <c r="M690" s="429"/>
      <c r="N690" s="429"/>
      <c r="O690" s="429"/>
      <c r="P690" s="429"/>
      <c r="Q690" s="429"/>
      <c r="R690" s="429"/>
      <c r="S690" s="429"/>
      <c r="T690" s="429"/>
      <c r="U690" s="429"/>
      <c r="V690" s="507"/>
      <c r="W690" s="519"/>
      <c r="X690" s="522"/>
      <c r="Y690" s="522"/>
    </row>
    <row r="691" spans="1:25" ht="22.5" customHeight="1" thickTop="1" thickBot="1" x14ac:dyDescent="0.3">
      <c r="A691" s="425"/>
      <c r="B691" s="505"/>
      <c r="C691" s="505"/>
      <c r="D691" s="505"/>
      <c r="E691" s="505"/>
      <c r="F691" s="505"/>
      <c r="G691" s="505"/>
      <c r="H691" s="505"/>
      <c r="I691" s="505"/>
      <c r="J691" s="505"/>
      <c r="K691" s="502"/>
      <c r="L691" s="429"/>
      <c r="M691" s="429"/>
      <c r="N691" s="429"/>
      <c r="O691" s="429"/>
      <c r="P691" s="429"/>
      <c r="Q691" s="429"/>
      <c r="R691" s="429"/>
      <c r="S691" s="429"/>
      <c r="T691" s="429"/>
      <c r="U691" s="429"/>
      <c r="V691" s="507"/>
      <c r="W691" s="519"/>
      <c r="X691" s="522"/>
      <c r="Y691" s="522"/>
    </row>
    <row r="692" spans="1:25" ht="22.5" customHeight="1" thickTop="1" thickBot="1" x14ac:dyDescent="0.3">
      <c r="A692" s="425"/>
      <c r="B692" s="505"/>
      <c r="C692" s="505"/>
      <c r="D692" s="505"/>
      <c r="E692" s="505"/>
      <c r="F692" s="505"/>
      <c r="G692" s="505"/>
      <c r="H692" s="505"/>
      <c r="I692" s="505"/>
      <c r="J692" s="505"/>
      <c r="K692" s="502"/>
      <c r="L692" s="429"/>
      <c r="M692" s="429"/>
      <c r="N692" s="429"/>
      <c r="O692" s="429"/>
      <c r="P692" s="429"/>
      <c r="Q692" s="429"/>
      <c r="R692" s="429"/>
      <c r="S692" s="429"/>
      <c r="T692" s="429"/>
      <c r="U692" s="429"/>
      <c r="V692" s="507"/>
      <c r="W692" s="519"/>
      <c r="X692" s="522"/>
      <c r="Y692" s="522"/>
    </row>
    <row r="693" spans="1:25" ht="22.5" customHeight="1" thickTop="1" thickBot="1" x14ac:dyDescent="0.3">
      <c r="A693" s="425"/>
      <c r="B693" s="505"/>
      <c r="C693" s="505"/>
      <c r="D693" s="505"/>
      <c r="E693" s="505"/>
      <c r="F693" s="505"/>
      <c r="G693" s="505"/>
      <c r="H693" s="505"/>
      <c r="I693" s="505"/>
      <c r="J693" s="505"/>
      <c r="K693" s="502"/>
      <c r="L693" s="429"/>
      <c r="M693" s="429"/>
      <c r="N693" s="429"/>
      <c r="O693" s="429"/>
      <c r="P693" s="429"/>
      <c r="Q693" s="429"/>
      <c r="R693" s="429"/>
      <c r="S693" s="429"/>
      <c r="T693" s="429"/>
      <c r="U693" s="429"/>
      <c r="V693" s="507"/>
      <c r="W693" s="519"/>
      <c r="X693" s="522"/>
      <c r="Y693" s="522"/>
    </row>
    <row r="694" spans="1:25" ht="22.5" customHeight="1" thickTop="1" thickBot="1" x14ac:dyDescent="0.3">
      <c r="A694" s="425"/>
      <c r="B694" s="505"/>
      <c r="C694" s="505"/>
      <c r="D694" s="505"/>
      <c r="E694" s="505"/>
      <c r="F694" s="505"/>
      <c r="G694" s="505"/>
      <c r="H694" s="505"/>
      <c r="I694" s="505"/>
      <c r="J694" s="505"/>
      <c r="K694" s="502"/>
      <c r="L694" s="429"/>
      <c r="M694" s="429"/>
      <c r="N694" s="429"/>
      <c r="O694" s="429"/>
      <c r="P694" s="429"/>
      <c r="Q694" s="429"/>
      <c r="R694" s="429"/>
      <c r="S694" s="429"/>
      <c r="T694" s="429"/>
      <c r="U694" s="429"/>
      <c r="V694" s="507"/>
      <c r="W694" s="519"/>
      <c r="X694" s="522"/>
      <c r="Y694" s="522"/>
    </row>
    <row r="695" spans="1:25" ht="22.5" customHeight="1" thickTop="1" thickBot="1" x14ac:dyDescent="0.3">
      <c r="A695" s="425"/>
      <c r="B695" s="505"/>
      <c r="C695" s="505"/>
      <c r="D695" s="505"/>
      <c r="E695" s="505"/>
      <c r="F695" s="505"/>
      <c r="G695" s="505"/>
      <c r="H695" s="505"/>
      <c r="I695" s="505"/>
      <c r="J695" s="505"/>
      <c r="K695" s="502"/>
      <c r="L695" s="429"/>
      <c r="M695" s="429"/>
      <c r="N695" s="429"/>
      <c r="O695" s="429"/>
      <c r="P695" s="429"/>
      <c r="Q695" s="429"/>
      <c r="R695" s="429"/>
      <c r="S695" s="429"/>
      <c r="T695" s="429"/>
      <c r="U695" s="429"/>
      <c r="V695" s="507"/>
      <c r="W695" s="519"/>
      <c r="X695" s="522"/>
      <c r="Y695" s="522"/>
    </row>
    <row r="696" spans="1:25" ht="22.5" customHeight="1" thickTop="1" thickBot="1" x14ac:dyDescent="0.3">
      <c r="A696" s="425"/>
      <c r="B696" s="505"/>
      <c r="C696" s="505"/>
      <c r="D696" s="505"/>
      <c r="E696" s="505"/>
      <c r="F696" s="505"/>
      <c r="G696" s="505"/>
      <c r="H696" s="505"/>
      <c r="I696" s="505"/>
      <c r="J696" s="505"/>
      <c r="K696" s="502"/>
      <c r="L696" s="429"/>
      <c r="M696" s="429"/>
      <c r="N696" s="429"/>
      <c r="O696" s="429"/>
      <c r="P696" s="429"/>
      <c r="Q696" s="429"/>
      <c r="R696" s="429"/>
      <c r="S696" s="429"/>
      <c r="T696" s="429"/>
      <c r="U696" s="429"/>
      <c r="V696" s="507"/>
      <c r="W696" s="519"/>
      <c r="X696" s="522"/>
      <c r="Y696" s="522"/>
    </row>
    <row r="697" spans="1:25" ht="22.5" customHeight="1" thickTop="1" thickBot="1" x14ac:dyDescent="0.3">
      <c r="A697" s="425"/>
      <c r="B697" s="505"/>
      <c r="C697" s="505"/>
      <c r="D697" s="505"/>
      <c r="E697" s="505"/>
      <c r="F697" s="505"/>
      <c r="G697" s="505"/>
      <c r="H697" s="505"/>
      <c r="I697" s="505"/>
      <c r="J697" s="505"/>
      <c r="K697" s="502"/>
      <c r="L697" s="429"/>
      <c r="M697" s="429"/>
      <c r="N697" s="429"/>
      <c r="O697" s="429"/>
      <c r="P697" s="429"/>
      <c r="Q697" s="429"/>
      <c r="R697" s="429"/>
      <c r="S697" s="429"/>
      <c r="T697" s="429"/>
      <c r="U697" s="429"/>
      <c r="V697" s="507"/>
      <c r="W697" s="519"/>
      <c r="X697" s="522"/>
      <c r="Y697" s="522"/>
    </row>
    <row r="698" spans="1:25" ht="22.5" customHeight="1" thickTop="1" thickBot="1" x14ac:dyDescent="0.3">
      <c r="A698" s="425"/>
      <c r="B698" s="505"/>
      <c r="C698" s="505"/>
      <c r="D698" s="505"/>
      <c r="E698" s="505"/>
      <c r="F698" s="505"/>
      <c r="G698" s="505"/>
      <c r="H698" s="505"/>
      <c r="I698" s="505"/>
      <c r="J698" s="505"/>
      <c r="K698" s="502"/>
      <c r="L698" s="429"/>
      <c r="M698" s="429"/>
      <c r="N698" s="429"/>
      <c r="O698" s="429"/>
      <c r="P698" s="429"/>
      <c r="Q698" s="429"/>
      <c r="R698" s="429"/>
      <c r="S698" s="429"/>
      <c r="T698" s="429"/>
      <c r="U698" s="429"/>
      <c r="V698" s="507"/>
      <c r="W698" s="519"/>
      <c r="X698" s="522"/>
      <c r="Y698" s="522"/>
    </row>
    <row r="699" spans="1:25" ht="22.5" customHeight="1" thickTop="1" thickBot="1" x14ac:dyDescent="0.3">
      <c r="A699" s="425"/>
      <c r="B699" s="505"/>
      <c r="C699" s="505"/>
      <c r="D699" s="505"/>
      <c r="E699" s="505"/>
      <c r="F699" s="505"/>
      <c r="G699" s="505"/>
      <c r="H699" s="505"/>
      <c r="I699" s="505"/>
      <c r="J699" s="505"/>
      <c r="K699" s="501"/>
      <c r="L699" s="429"/>
      <c r="M699" s="429"/>
      <c r="N699" s="429"/>
      <c r="O699" s="429"/>
      <c r="P699" s="429"/>
      <c r="Q699" s="429"/>
      <c r="R699" s="429"/>
      <c r="S699" s="429"/>
      <c r="T699" s="429"/>
      <c r="U699" s="429"/>
      <c r="V699" s="507"/>
      <c r="W699" s="519"/>
      <c r="X699" s="522"/>
      <c r="Y699" s="522"/>
    </row>
    <row r="700" spans="1:25" ht="22.5" customHeight="1" thickTop="1" thickBot="1" x14ac:dyDescent="0.3">
      <c r="A700" s="425"/>
      <c r="B700" s="505"/>
      <c r="C700" s="505"/>
      <c r="D700" s="505"/>
      <c r="E700" s="505"/>
      <c r="F700" s="505"/>
      <c r="G700" s="505"/>
      <c r="H700" s="505"/>
      <c r="I700" s="505"/>
      <c r="J700" s="505"/>
      <c r="K700" s="502"/>
      <c r="L700" s="429"/>
      <c r="M700" s="429"/>
      <c r="N700" s="429"/>
      <c r="O700" s="429"/>
      <c r="P700" s="429"/>
      <c r="Q700" s="429"/>
      <c r="R700" s="429"/>
      <c r="S700" s="429"/>
      <c r="T700" s="429"/>
      <c r="U700" s="429"/>
      <c r="V700" s="507"/>
      <c r="W700" s="519"/>
      <c r="X700" s="522"/>
      <c r="Y700" s="522"/>
    </row>
    <row r="701" spans="1:25" ht="22.5" customHeight="1" thickTop="1" thickBot="1" x14ac:dyDescent="0.3">
      <c r="A701" s="425"/>
      <c r="B701" s="505"/>
      <c r="C701" s="505"/>
      <c r="D701" s="505"/>
      <c r="E701" s="505"/>
      <c r="F701" s="505"/>
      <c r="G701" s="505"/>
      <c r="H701" s="505"/>
      <c r="I701" s="505"/>
      <c r="J701" s="505"/>
      <c r="K701" s="502"/>
      <c r="L701" s="429"/>
      <c r="M701" s="429"/>
      <c r="N701" s="429"/>
      <c r="O701" s="429"/>
      <c r="P701" s="429"/>
      <c r="Q701" s="429"/>
      <c r="R701" s="429"/>
      <c r="S701" s="429"/>
      <c r="T701" s="429"/>
      <c r="U701" s="429"/>
      <c r="V701" s="507"/>
      <c r="W701" s="519"/>
      <c r="X701" s="522"/>
      <c r="Y701" s="522"/>
    </row>
    <row r="702" spans="1:25" ht="22.5" customHeight="1" thickTop="1" thickBot="1" x14ac:dyDescent="0.3">
      <c r="A702" s="425"/>
      <c r="B702" s="505"/>
      <c r="C702" s="505"/>
      <c r="D702" s="505"/>
      <c r="E702" s="505"/>
      <c r="F702" s="505"/>
      <c r="G702" s="505"/>
      <c r="H702" s="505"/>
      <c r="I702" s="505"/>
      <c r="J702" s="505"/>
      <c r="K702" s="502"/>
      <c r="L702" s="429"/>
      <c r="M702" s="429"/>
      <c r="N702" s="429"/>
      <c r="O702" s="429"/>
      <c r="P702" s="429"/>
      <c r="Q702" s="429"/>
      <c r="R702" s="429"/>
      <c r="S702" s="429"/>
      <c r="T702" s="429"/>
      <c r="U702" s="429"/>
      <c r="V702" s="507"/>
      <c r="W702" s="519"/>
      <c r="X702" s="522"/>
      <c r="Y702" s="522"/>
    </row>
    <row r="703" spans="1:25" ht="22.5" customHeight="1" thickTop="1" thickBot="1" x14ac:dyDescent="0.3">
      <c r="A703" s="425"/>
      <c r="B703" s="505"/>
      <c r="C703" s="505"/>
      <c r="D703" s="505"/>
      <c r="E703" s="505"/>
      <c r="F703" s="505"/>
      <c r="G703" s="505"/>
      <c r="H703" s="505"/>
      <c r="I703" s="505"/>
      <c r="J703" s="505"/>
      <c r="K703" s="502"/>
      <c r="L703" s="429"/>
      <c r="M703" s="429"/>
      <c r="N703" s="429"/>
      <c r="O703" s="429"/>
      <c r="P703" s="429"/>
      <c r="Q703" s="429"/>
      <c r="R703" s="429"/>
      <c r="S703" s="429"/>
      <c r="T703" s="429"/>
      <c r="U703" s="429"/>
      <c r="V703" s="507"/>
      <c r="W703" s="519"/>
      <c r="X703" s="522"/>
      <c r="Y703" s="522"/>
    </row>
    <row r="704" spans="1:25" ht="22.5" customHeight="1" thickTop="1" thickBot="1" x14ac:dyDescent="0.3">
      <c r="A704" s="425"/>
      <c r="B704" s="505"/>
      <c r="C704" s="505"/>
      <c r="D704" s="505"/>
      <c r="E704" s="505"/>
      <c r="F704" s="505"/>
      <c r="G704" s="505"/>
      <c r="H704" s="505"/>
      <c r="I704" s="505"/>
      <c r="J704" s="505"/>
      <c r="K704" s="502"/>
      <c r="L704" s="429"/>
      <c r="M704" s="429"/>
      <c r="N704" s="429"/>
      <c r="O704" s="429"/>
      <c r="P704" s="429"/>
      <c r="Q704" s="429"/>
      <c r="R704" s="429"/>
      <c r="S704" s="429"/>
      <c r="T704" s="429"/>
      <c r="U704" s="429"/>
      <c r="V704" s="507"/>
      <c r="W704" s="519"/>
      <c r="X704" s="522"/>
      <c r="Y704" s="522"/>
    </row>
    <row r="705" spans="1:25" ht="22.5" customHeight="1" thickTop="1" thickBot="1" x14ac:dyDescent="0.3">
      <c r="A705" s="425"/>
      <c r="B705" s="505"/>
      <c r="C705" s="505"/>
      <c r="D705" s="505"/>
      <c r="E705" s="505"/>
      <c r="F705" s="505"/>
      <c r="G705" s="505"/>
      <c r="H705" s="505"/>
      <c r="I705" s="505"/>
      <c r="J705" s="505"/>
      <c r="K705" s="502"/>
      <c r="L705" s="429"/>
      <c r="M705" s="429"/>
      <c r="N705" s="429"/>
      <c r="O705" s="429"/>
      <c r="P705" s="429"/>
      <c r="Q705" s="429"/>
      <c r="R705" s="429"/>
      <c r="S705" s="429"/>
      <c r="T705" s="429"/>
      <c r="U705" s="429"/>
      <c r="V705" s="507"/>
      <c r="W705" s="519"/>
      <c r="X705" s="522"/>
      <c r="Y705" s="522"/>
    </row>
    <row r="706" spans="1:25" ht="22.5" customHeight="1" thickTop="1" thickBot="1" x14ac:dyDescent="0.3">
      <c r="A706" s="425"/>
      <c r="B706" s="505"/>
      <c r="C706" s="505"/>
      <c r="D706" s="505"/>
      <c r="E706" s="505"/>
      <c r="F706" s="505"/>
      <c r="G706" s="505"/>
      <c r="H706" s="505"/>
      <c r="I706" s="505"/>
      <c r="J706" s="505"/>
      <c r="K706" s="502"/>
      <c r="L706" s="429"/>
      <c r="M706" s="429"/>
      <c r="N706" s="429"/>
      <c r="O706" s="429"/>
      <c r="P706" s="429"/>
      <c r="Q706" s="429"/>
      <c r="R706" s="429"/>
      <c r="S706" s="429"/>
      <c r="T706" s="429"/>
      <c r="U706" s="429"/>
      <c r="V706" s="507"/>
      <c r="W706" s="519"/>
      <c r="X706" s="522"/>
      <c r="Y706" s="522"/>
    </row>
    <row r="707" spans="1:25" ht="22.5" customHeight="1" thickTop="1" thickBot="1" x14ac:dyDescent="0.3">
      <c r="A707" s="425"/>
      <c r="B707" s="505"/>
      <c r="C707" s="505"/>
      <c r="D707" s="505"/>
      <c r="E707" s="505"/>
      <c r="F707" s="505"/>
      <c r="G707" s="505"/>
      <c r="H707" s="505"/>
      <c r="I707" s="505"/>
      <c r="J707" s="505"/>
      <c r="K707" s="502"/>
      <c r="L707" s="429"/>
      <c r="M707" s="429"/>
      <c r="N707" s="429"/>
      <c r="O707" s="429"/>
      <c r="P707" s="429"/>
      <c r="Q707" s="429"/>
      <c r="R707" s="429"/>
      <c r="S707" s="429"/>
      <c r="T707" s="429"/>
      <c r="U707" s="429"/>
      <c r="V707" s="507"/>
      <c r="W707" s="519"/>
      <c r="X707" s="522"/>
      <c r="Y707" s="522"/>
    </row>
    <row r="708" spans="1:25" ht="22.5" customHeight="1" thickTop="1" thickBot="1" x14ac:dyDescent="0.3">
      <c r="A708" s="425"/>
      <c r="B708" s="505"/>
      <c r="C708" s="505"/>
      <c r="D708" s="505"/>
      <c r="E708" s="505"/>
      <c r="F708" s="505"/>
      <c r="G708" s="505"/>
      <c r="H708" s="505"/>
      <c r="I708" s="505"/>
      <c r="J708" s="505"/>
      <c r="K708" s="502"/>
      <c r="L708" s="429"/>
      <c r="M708" s="429"/>
      <c r="N708" s="429"/>
      <c r="O708" s="429"/>
      <c r="P708" s="429"/>
      <c r="Q708" s="429"/>
      <c r="R708" s="429"/>
      <c r="S708" s="429"/>
      <c r="T708" s="429"/>
      <c r="U708" s="429"/>
      <c r="V708" s="507"/>
      <c r="W708" s="519"/>
      <c r="X708" s="522"/>
      <c r="Y708" s="522"/>
    </row>
    <row r="709" spans="1:25" ht="22.5" customHeight="1" thickTop="1" thickBot="1" x14ac:dyDescent="0.3">
      <c r="A709" s="425"/>
      <c r="B709" s="505"/>
      <c r="C709" s="505"/>
      <c r="D709" s="505"/>
      <c r="E709" s="505"/>
      <c r="F709" s="505"/>
      <c r="G709" s="505"/>
      <c r="H709" s="505"/>
      <c r="I709" s="505"/>
      <c r="J709" s="505"/>
      <c r="K709" s="502"/>
      <c r="L709" s="429"/>
      <c r="M709" s="429"/>
      <c r="N709" s="429"/>
      <c r="O709" s="429"/>
      <c r="P709" s="429"/>
      <c r="Q709" s="429"/>
      <c r="R709" s="429"/>
      <c r="S709" s="429"/>
      <c r="T709" s="429"/>
      <c r="U709" s="429"/>
      <c r="V709" s="507"/>
      <c r="W709" s="519"/>
      <c r="X709" s="522"/>
      <c r="Y709" s="522"/>
    </row>
    <row r="710" spans="1:25" ht="22.5" customHeight="1" thickTop="1" thickBot="1" x14ac:dyDescent="0.3">
      <c r="A710" s="425"/>
      <c r="B710" s="505"/>
      <c r="C710" s="505"/>
      <c r="D710" s="505"/>
      <c r="E710" s="505"/>
      <c r="F710" s="505"/>
      <c r="G710" s="505"/>
      <c r="H710" s="505"/>
      <c r="I710" s="505"/>
      <c r="J710" s="505"/>
      <c r="K710" s="502"/>
      <c r="L710" s="429"/>
      <c r="M710" s="429"/>
      <c r="N710" s="429"/>
      <c r="O710" s="429"/>
      <c r="P710" s="429"/>
      <c r="Q710" s="429"/>
      <c r="R710" s="429"/>
      <c r="S710" s="429"/>
      <c r="T710" s="429"/>
      <c r="U710" s="429"/>
      <c r="V710" s="507"/>
      <c r="W710" s="519"/>
      <c r="X710" s="522"/>
      <c r="Y710" s="522"/>
    </row>
    <row r="711" spans="1:25" ht="22.5" customHeight="1" thickTop="1" thickBot="1" x14ac:dyDescent="0.3">
      <c r="A711" s="425"/>
      <c r="B711" s="505"/>
      <c r="C711" s="505"/>
      <c r="D711" s="505"/>
      <c r="E711" s="505"/>
      <c r="F711" s="505"/>
      <c r="G711" s="505"/>
      <c r="H711" s="505"/>
      <c r="I711" s="505"/>
      <c r="J711" s="505"/>
      <c r="K711" s="502"/>
      <c r="L711" s="429"/>
      <c r="M711" s="429"/>
      <c r="N711" s="429"/>
      <c r="O711" s="429"/>
      <c r="P711" s="429"/>
      <c r="Q711" s="429"/>
      <c r="R711" s="429"/>
      <c r="S711" s="429"/>
      <c r="T711" s="429"/>
      <c r="U711" s="429"/>
      <c r="V711" s="507"/>
      <c r="W711" s="519"/>
      <c r="X711" s="522"/>
      <c r="Y711" s="522"/>
    </row>
    <row r="712" spans="1:25" ht="22.5" customHeight="1" thickTop="1" thickBot="1" x14ac:dyDescent="0.3">
      <c r="A712" s="425"/>
      <c r="B712" s="505"/>
      <c r="C712" s="505"/>
      <c r="D712" s="505"/>
      <c r="E712" s="505"/>
      <c r="F712" s="505"/>
      <c r="G712" s="505"/>
      <c r="H712" s="505"/>
      <c r="I712" s="505"/>
      <c r="J712" s="505"/>
      <c r="K712" s="502"/>
      <c r="L712" s="429"/>
      <c r="M712" s="429"/>
      <c r="N712" s="429"/>
      <c r="O712" s="429"/>
      <c r="P712" s="429"/>
      <c r="Q712" s="429"/>
      <c r="R712" s="429"/>
      <c r="S712" s="429"/>
      <c r="T712" s="429"/>
      <c r="U712" s="429"/>
      <c r="V712" s="507"/>
      <c r="W712" s="519"/>
      <c r="X712" s="522"/>
      <c r="Y712" s="522"/>
    </row>
    <row r="713" spans="1:25" ht="22.5" customHeight="1" thickTop="1" thickBot="1" x14ac:dyDescent="0.3">
      <c r="A713" s="425"/>
      <c r="B713" s="505"/>
      <c r="C713" s="505"/>
      <c r="D713" s="505"/>
      <c r="E713" s="505"/>
      <c r="F713" s="505"/>
      <c r="G713" s="505"/>
      <c r="H713" s="505"/>
      <c r="I713" s="505"/>
      <c r="J713" s="505"/>
      <c r="K713" s="502"/>
      <c r="L713" s="429"/>
      <c r="M713" s="429"/>
      <c r="N713" s="429"/>
      <c r="O713" s="429"/>
      <c r="P713" s="429"/>
      <c r="Q713" s="429"/>
      <c r="R713" s="429"/>
      <c r="S713" s="429"/>
      <c r="T713" s="429"/>
      <c r="U713" s="429"/>
      <c r="V713" s="507"/>
      <c r="W713" s="519"/>
      <c r="X713" s="522"/>
      <c r="Y713" s="522"/>
    </row>
    <row r="714" spans="1:25" ht="22.5" customHeight="1" thickTop="1" thickBot="1" x14ac:dyDescent="0.3">
      <c r="A714" s="425"/>
      <c r="B714" s="505"/>
      <c r="C714" s="505"/>
      <c r="D714" s="505"/>
      <c r="E714" s="505"/>
      <c r="F714" s="505"/>
      <c r="G714" s="505"/>
      <c r="H714" s="505"/>
      <c r="I714" s="505"/>
      <c r="J714" s="505"/>
      <c r="K714" s="502"/>
      <c r="L714" s="429"/>
      <c r="M714" s="429"/>
      <c r="N714" s="429"/>
      <c r="O714" s="429"/>
      <c r="P714" s="429"/>
      <c r="Q714" s="429"/>
      <c r="R714" s="429"/>
      <c r="S714" s="429"/>
      <c r="T714" s="429"/>
      <c r="U714" s="429"/>
      <c r="V714" s="507"/>
      <c r="W714" s="519"/>
      <c r="X714" s="522"/>
      <c r="Y714" s="522"/>
    </row>
    <row r="715" spans="1:25" ht="22.5" customHeight="1" thickTop="1" thickBot="1" x14ac:dyDescent="0.3">
      <c r="A715" s="425"/>
      <c r="B715" s="505"/>
      <c r="C715" s="505"/>
      <c r="D715" s="505"/>
      <c r="E715" s="505"/>
      <c r="F715" s="505"/>
      <c r="G715" s="505"/>
      <c r="H715" s="505"/>
      <c r="I715" s="505"/>
      <c r="J715" s="505"/>
      <c r="K715" s="502"/>
      <c r="L715" s="429"/>
      <c r="M715" s="429"/>
      <c r="N715" s="429"/>
      <c r="O715" s="429"/>
      <c r="P715" s="429"/>
      <c r="Q715" s="429"/>
      <c r="R715" s="429"/>
      <c r="S715" s="429"/>
      <c r="T715" s="429"/>
      <c r="U715" s="429"/>
      <c r="V715" s="507"/>
      <c r="W715" s="519"/>
      <c r="X715" s="522"/>
      <c r="Y715" s="522"/>
    </row>
    <row r="716" spans="1:25" ht="22.5" customHeight="1" thickTop="1" thickBot="1" x14ac:dyDescent="0.3">
      <c r="A716" s="425"/>
      <c r="B716" s="505"/>
      <c r="C716" s="505"/>
      <c r="D716" s="505"/>
      <c r="E716" s="505"/>
      <c r="F716" s="505"/>
      <c r="G716" s="505"/>
      <c r="H716" s="505"/>
      <c r="I716" s="505"/>
      <c r="J716" s="505"/>
      <c r="K716" s="502"/>
      <c r="L716" s="429"/>
      <c r="M716" s="429"/>
      <c r="N716" s="429"/>
      <c r="O716" s="429"/>
      <c r="P716" s="429"/>
      <c r="Q716" s="429"/>
      <c r="R716" s="429"/>
      <c r="S716" s="429"/>
      <c r="T716" s="429"/>
      <c r="U716" s="429"/>
      <c r="V716" s="507"/>
      <c r="W716" s="519"/>
      <c r="X716" s="522"/>
      <c r="Y716" s="522"/>
    </row>
    <row r="717" spans="1:25" ht="22.5" customHeight="1" thickTop="1" thickBot="1" x14ac:dyDescent="0.3">
      <c r="A717" s="425"/>
      <c r="B717" s="505"/>
      <c r="C717" s="505"/>
      <c r="D717" s="505"/>
      <c r="E717" s="505"/>
      <c r="F717" s="505"/>
      <c r="G717" s="505"/>
      <c r="H717" s="505"/>
      <c r="I717" s="505"/>
      <c r="J717" s="505"/>
      <c r="K717" s="502"/>
      <c r="L717" s="429"/>
      <c r="M717" s="429"/>
      <c r="N717" s="429"/>
      <c r="O717" s="429"/>
      <c r="P717" s="429"/>
      <c r="Q717" s="429"/>
      <c r="R717" s="429"/>
      <c r="S717" s="429"/>
      <c r="T717" s="429"/>
      <c r="U717" s="429"/>
      <c r="V717" s="507"/>
      <c r="W717" s="519"/>
      <c r="X717" s="522"/>
      <c r="Y717" s="522"/>
    </row>
    <row r="718" spans="1:25" ht="22.5" customHeight="1" thickTop="1" thickBot="1" x14ac:dyDescent="0.3">
      <c r="A718" s="425"/>
      <c r="B718" s="505"/>
      <c r="C718" s="505"/>
      <c r="D718" s="505"/>
      <c r="E718" s="505"/>
      <c r="F718" s="505"/>
      <c r="G718" s="505"/>
      <c r="H718" s="505"/>
      <c r="I718" s="505"/>
      <c r="J718" s="505"/>
      <c r="K718" s="502"/>
      <c r="L718" s="429"/>
      <c r="M718" s="429"/>
      <c r="N718" s="429"/>
      <c r="O718" s="429"/>
      <c r="P718" s="429"/>
      <c r="Q718" s="429"/>
      <c r="R718" s="429"/>
      <c r="S718" s="429"/>
      <c r="T718" s="429"/>
      <c r="U718" s="429"/>
      <c r="V718" s="507"/>
      <c r="W718" s="519"/>
      <c r="X718" s="522"/>
      <c r="Y718" s="522"/>
    </row>
    <row r="719" spans="1:25" ht="22.5" customHeight="1" thickTop="1" thickBot="1" x14ac:dyDescent="0.3">
      <c r="A719" s="425"/>
      <c r="B719" s="505"/>
      <c r="C719" s="505"/>
      <c r="D719" s="505"/>
      <c r="E719" s="505"/>
      <c r="F719" s="505"/>
      <c r="G719" s="505"/>
      <c r="H719" s="505"/>
      <c r="I719" s="505"/>
      <c r="J719" s="505"/>
      <c r="K719" s="502"/>
      <c r="L719" s="429"/>
      <c r="M719" s="429"/>
      <c r="N719" s="429"/>
      <c r="O719" s="429"/>
      <c r="P719" s="429"/>
      <c r="Q719" s="429"/>
      <c r="R719" s="429"/>
      <c r="S719" s="429"/>
      <c r="T719" s="429"/>
      <c r="U719" s="429"/>
      <c r="V719" s="507"/>
      <c r="W719" s="519"/>
      <c r="X719" s="522"/>
      <c r="Y719" s="522"/>
    </row>
    <row r="720" spans="1:25" ht="22.5" customHeight="1" thickTop="1" thickBot="1" x14ac:dyDescent="0.3">
      <c r="A720" s="425"/>
      <c r="B720" s="505"/>
      <c r="C720" s="505"/>
      <c r="D720" s="505"/>
      <c r="E720" s="505"/>
      <c r="F720" s="505"/>
      <c r="G720" s="505"/>
      <c r="H720" s="505"/>
      <c r="I720" s="505"/>
      <c r="J720" s="505"/>
      <c r="K720" s="502"/>
      <c r="L720" s="429"/>
      <c r="M720" s="429"/>
      <c r="N720" s="429"/>
      <c r="O720" s="429"/>
      <c r="P720" s="429"/>
      <c r="Q720" s="429"/>
      <c r="R720" s="429"/>
      <c r="S720" s="429"/>
      <c r="T720" s="429"/>
      <c r="U720" s="429"/>
      <c r="V720" s="507"/>
      <c r="W720" s="519"/>
      <c r="X720" s="522"/>
      <c r="Y720" s="522"/>
    </row>
    <row r="721" spans="1:25" ht="22.5" customHeight="1" thickTop="1" thickBot="1" x14ac:dyDescent="0.3">
      <c r="A721" s="425"/>
      <c r="B721" s="505"/>
      <c r="C721" s="505"/>
      <c r="D721" s="505"/>
      <c r="E721" s="505"/>
      <c r="F721" s="505"/>
      <c r="G721" s="505"/>
      <c r="H721" s="505"/>
      <c r="I721" s="505"/>
      <c r="J721" s="505"/>
      <c r="K721" s="502"/>
      <c r="L721" s="429"/>
      <c r="M721" s="429"/>
      <c r="N721" s="429"/>
      <c r="O721" s="429"/>
      <c r="P721" s="429"/>
      <c r="Q721" s="429"/>
      <c r="R721" s="429"/>
      <c r="S721" s="429"/>
      <c r="T721" s="429"/>
      <c r="U721" s="429"/>
      <c r="V721" s="507"/>
      <c r="W721" s="519"/>
      <c r="X721" s="522"/>
      <c r="Y721" s="522"/>
    </row>
    <row r="722" spans="1:25" ht="22.5" customHeight="1" thickTop="1" thickBot="1" x14ac:dyDescent="0.3">
      <c r="A722" s="425"/>
      <c r="B722" s="505"/>
      <c r="C722" s="505"/>
      <c r="D722" s="505"/>
      <c r="E722" s="505"/>
      <c r="F722" s="505"/>
      <c r="G722" s="505"/>
      <c r="H722" s="505"/>
      <c r="I722" s="505"/>
      <c r="J722" s="505"/>
      <c r="K722" s="502"/>
      <c r="L722" s="429"/>
      <c r="M722" s="429"/>
      <c r="N722" s="429"/>
      <c r="O722" s="429"/>
      <c r="P722" s="429"/>
      <c r="Q722" s="429"/>
      <c r="R722" s="429"/>
      <c r="S722" s="429"/>
      <c r="T722" s="429"/>
      <c r="U722" s="429"/>
      <c r="V722" s="507"/>
      <c r="W722" s="519"/>
      <c r="X722" s="522"/>
      <c r="Y722" s="522"/>
    </row>
    <row r="723" spans="1:25" ht="22.5" customHeight="1" thickTop="1" thickBot="1" x14ac:dyDescent="0.3">
      <c r="A723" s="425"/>
      <c r="B723" s="505"/>
      <c r="C723" s="505"/>
      <c r="D723" s="505"/>
      <c r="E723" s="505"/>
      <c r="F723" s="505"/>
      <c r="G723" s="505"/>
      <c r="H723" s="505"/>
      <c r="I723" s="505"/>
      <c r="J723" s="505"/>
      <c r="K723" s="502"/>
      <c r="L723" s="429"/>
      <c r="M723" s="429"/>
      <c r="N723" s="429"/>
      <c r="O723" s="429"/>
      <c r="P723" s="429"/>
      <c r="Q723" s="429"/>
      <c r="R723" s="429"/>
      <c r="S723" s="429"/>
      <c r="T723" s="429"/>
      <c r="U723" s="429"/>
      <c r="V723" s="507"/>
      <c r="W723" s="519"/>
      <c r="X723" s="522"/>
      <c r="Y723" s="522"/>
    </row>
    <row r="724" spans="1:25" ht="22.5" customHeight="1" thickTop="1" thickBot="1" x14ac:dyDescent="0.3">
      <c r="A724" s="425"/>
      <c r="B724" s="505"/>
      <c r="C724" s="505"/>
      <c r="D724" s="505"/>
      <c r="E724" s="505"/>
      <c r="F724" s="505"/>
      <c r="G724" s="505"/>
      <c r="H724" s="505"/>
      <c r="I724" s="505"/>
      <c r="J724" s="505"/>
      <c r="K724" s="501"/>
      <c r="L724" s="429"/>
      <c r="M724" s="429"/>
      <c r="N724" s="429"/>
      <c r="O724" s="429"/>
      <c r="P724" s="429"/>
      <c r="Q724" s="429"/>
      <c r="R724" s="429"/>
      <c r="S724" s="429"/>
      <c r="T724" s="429"/>
      <c r="U724" s="429"/>
      <c r="V724" s="507"/>
      <c r="W724" s="519"/>
      <c r="X724" s="522"/>
      <c r="Y724" s="522"/>
    </row>
    <row r="725" spans="1:25" s="174" customFormat="1" ht="22.5" customHeight="1" thickTop="1" thickBot="1" x14ac:dyDescent="0.3">
      <c r="A725" s="425"/>
      <c r="B725" s="505"/>
      <c r="C725" s="505"/>
      <c r="D725" s="505"/>
      <c r="E725" s="505"/>
      <c r="F725" s="505"/>
      <c r="G725" s="505"/>
      <c r="H725" s="519"/>
      <c r="I725" s="519"/>
      <c r="J725" s="519"/>
      <c r="K725" s="501"/>
      <c r="L725" s="428"/>
      <c r="M725" s="428"/>
      <c r="N725" s="428"/>
      <c r="O725" s="428"/>
      <c r="P725" s="428"/>
      <c r="Q725" s="428"/>
      <c r="R725" s="428"/>
      <c r="S725" s="428"/>
      <c r="T725" s="428"/>
      <c r="U725" s="428"/>
      <c r="V725" s="506"/>
      <c r="W725" s="519"/>
      <c r="X725" s="522"/>
      <c r="Y725" s="522"/>
    </row>
    <row r="726" spans="1:25" ht="22.5" customHeight="1" thickTop="1" thickBot="1" x14ac:dyDescent="0.3">
      <c r="A726" s="425"/>
      <c r="B726" s="505"/>
      <c r="C726" s="505"/>
      <c r="D726" s="505"/>
      <c r="E726" s="505"/>
      <c r="F726" s="505"/>
      <c r="G726" s="505"/>
      <c r="H726" s="505"/>
      <c r="I726" s="505"/>
      <c r="J726" s="505"/>
      <c r="K726" s="502"/>
      <c r="L726" s="429"/>
      <c r="M726" s="429"/>
      <c r="N726" s="429"/>
      <c r="O726" s="429"/>
      <c r="P726" s="429"/>
      <c r="Q726" s="429"/>
      <c r="R726" s="429"/>
      <c r="S726" s="429"/>
      <c r="T726" s="429"/>
      <c r="U726" s="429"/>
      <c r="V726" s="507"/>
      <c r="W726" s="519"/>
      <c r="X726" s="522"/>
      <c r="Y726" s="522"/>
    </row>
    <row r="727" spans="1:25" ht="22.5" customHeight="1" thickTop="1" thickBot="1" x14ac:dyDescent="0.3">
      <c r="A727" s="425"/>
      <c r="B727" s="505"/>
      <c r="C727" s="505"/>
      <c r="D727" s="505"/>
      <c r="E727" s="505"/>
      <c r="F727" s="505"/>
      <c r="G727" s="505"/>
      <c r="H727" s="505"/>
      <c r="I727" s="505"/>
      <c r="J727" s="505"/>
      <c r="K727" s="502"/>
      <c r="L727" s="429"/>
      <c r="M727" s="429"/>
      <c r="N727" s="429"/>
      <c r="O727" s="429"/>
      <c r="P727" s="429"/>
      <c r="Q727" s="429"/>
      <c r="R727" s="429"/>
      <c r="S727" s="429"/>
      <c r="T727" s="429"/>
      <c r="U727" s="429"/>
      <c r="V727" s="507"/>
      <c r="W727" s="519"/>
      <c r="X727" s="522"/>
      <c r="Y727" s="522"/>
    </row>
    <row r="728" spans="1:25" ht="22.5" customHeight="1" thickTop="1" thickBot="1" x14ac:dyDescent="0.3">
      <c r="A728" s="425"/>
      <c r="B728" s="505"/>
      <c r="C728" s="505"/>
      <c r="D728" s="505"/>
      <c r="E728" s="505"/>
      <c r="F728" s="505"/>
      <c r="G728" s="505"/>
      <c r="H728" s="505"/>
      <c r="I728" s="505"/>
      <c r="J728" s="505"/>
      <c r="K728" s="502"/>
      <c r="L728" s="429"/>
      <c r="M728" s="429"/>
      <c r="N728" s="429"/>
      <c r="O728" s="429"/>
      <c r="P728" s="429"/>
      <c r="Q728" s="429"/>
      <c r="R728" s="429"/>
      <c r="S728" s="429"/>
      <c r="T728" s="429"/>
      <c r="U728" s="429"/>
      <c r="V728" s="507"/>
      <c r="W728" s="519"/>
      <c r="X728" s="522"/>
      <c r="Y728" s="522"/>
    </row>
    <row r="729" spans="1:25" ht="22.5" customHeight="1" thickTop="1" thickBot="1" x14ac:dyDescent="0.3">
      <c r="A729" s="425"/>
      <c r="B729" s="505"/>
      <c r="C729" s="505"/>
      <c r="D729" s="505"/>
      <c r="E729" s="505"/>
      <c r="F729" s="505"/>
      <c r="G729" s="505"/>
      <c r="H729" s="505"/>
      <c r="I729" s="505"/>
      <c r="J729" s="505"/>
      <c r="K729" s="502"/>
      <c r="L729" s="429"/>
      <c r="M729" s="429"/>
      <c r="N729" s="429"/>
      <c r="O729" s="429"/>
      <c r="P729" s="429"/>
      <c r="Q729" s="429"/>
      <c r="R729" s="429"/>
      <c r="S729" s="429"/>
      <c r="T729" s="429"/>
      <c r="U729" s="429"/>
      <c r="V729" s="507"/>
      <c r="W729" s="519"/>
      <c r="X729" s="522"/>
      <c r="Y729" s="522"/>
    </row>
    <row r="730" spans="1:25" ht="22.5" customHeight="1" thickTop="1" thickBot="1" x14ac:dyDescent="0.3">
      <c r="A730" s="425"/>
      <c r="B730" s="505"/>
      <c r="C730" s="505"/>
      <c r="D730" s="505"/>
      <c r="E730" s="505"/>
      <c r="F730" s="505"/>
      <c r="G730" s="505"/>
      <c r="H730" s="505"/>
      <c r="I730" s="505"/>
      <c r="J730" s="505"/>
      <c r="K730" s="502"/>
      <c r="L730" s="429"/>
      <c r="M730" s="429"/>
      <c r="N730" s="429"/>
      <c r="O730" s="429"/>
      <c r="P730" s="429"/>
      <c r="Q730" s="429"/>
      <c r="R730" s="429"/>
      <c r="S730" s="429"/>
      <c r="T730" s="429"/>
      <c r="U730" s="429"/>
      <c r="V730" s="507"/>
      <c r="W730" s="519"/>
      <c r="X730" s="522"/>
      <c r="Y730" s="522"/>
    </row>
    <row r="731" spans="1:25" ht="22.5" customHeight="1" thickTop="1" thickBot="1" x14ac:dyDescent="0.3">
      <c r="A731" s="425"/>
      <c r="B731" s="505"/>
      <c r="C731" s="505"/>
      <c r="D731" s="505"/>
      <c r="E731" s="505"/>
      <c r="F731" s="505"/>
      <c r="G731" s="505"/>
      <c r="H731" s="505"/>
      <c r="I731" s="505"/>
      <c r="J731" s="505"/>
      <c r="K731" s="502"/>
      <c r="L731" s="429"/>
      <c r="M731" s="429"/>
      <c r="N731" s="429"/>
      <c r="O731" s="429"/>
      <c r="P731" s="429"/>
      <c r="Q731" s="429"/>
      <c r="R731" s="429"/>
      <c r="S731" s="429"/>
      <c r="T731" s="429"/>
      <c r="U731" s="429"/>
      <c r="V731" s="507"/>
      <c r="W731" s="519"/>
      <c r="X731" s="522"/>
      <c r="Y731" s="522"/>
    </row>
    <row r="732" spans="1:25" ht="22.5" customHeight="1" thickTop="1" thickBot="1" x14ac:dyDescent="0.3">
      <c r="A732" s="425"/>
      <c r="B732" s="505"/>
      <c r="C732" s="505"/>
      <c r="D732" s="505"/>
      <c r="E732" s="505"/>
      <c r="F732" s="505"/>
      <c r="G732" s="505"/>
      <c r="H732" s="505"/>
      <c r="I732" s="505"/>
      <c r="J732" s="505"/>
      <c r="K732" s="502"/>
      <c r="L732" s="429"/>
      <c r="M732" s="429"/>
      <c r="N732" s="429"/>
      <c r="O732" s="429"/>
      <c r="P732" s="429"/>
      <c r="Q732" s="429"/>
      <c r="R732" s="429"/>
      <c r="S732" s="429"/>
      <c r="T732" s="429"/>
      <c r="U732" s="429"/>
      <c r="V732" s="507"/>
      <c r="W732" s="519"/>
      <c r="X732" s="522"/>
      <c r="Y732" s="522"/>
    </row>
    <row r="733" spans="1:25" ht="22.5" customHeight="1" thickTop="1" thickBot="1" x14ac:dyDescent="0.3">
      <c r="A733" s="425"/>
      <c r="B733" s="505"/>
      <c r="C733" s="505"/>
      <c r="D733" s="505"/>
      <c r="E733" s="505"/>
      <c r="F733" s="505"/>
      <c r="G733" s="505"/>
      <c r="H733" s="505"/>
      <c r="I733" s="505"/>
      <c r="J733" s="505"/>
      <c r="K733" s="502"/>
      <c r="L733" s="429"/>
      <c r="M733" s="429"/>
      <c r="N733" s="429"/>
      <c r="O733" s="429"/>
      <c r="P733" s="429"/>
      <c r="Q733" s="429"/>
      <c r="R733" s="429"/>
      <c r="S733" s="429"/>
      <c r="T733" s="429"/>
      <c r="U733" s="429"/>
      <c r="V733" s="507"/>
      <c r="W733" s="519"/>
      <c r="X733" s="522"/>
      <c r="Y733" s="522"/>
    </row>
    <row r="734" spans="1:25" ht="22.5" customHeight="1" thickTop="1" thickBot="1" x14ac:dyDescent="0.3">
      <c r="A734" s="425"/>
      <c r="B734" s="505"/>
      <c r="C734" s="505"/>
      <c r="D734" s="505"/>
      <c r="E734" s="505"/>
      <c r="F734" s="505"/>
      <c r="G734" s="505"/>
      <c r="H734" s="505"/>
      <c r="I734" s="505"/>
      <c r="J734" s="505"/>
      <c r="K734" s="502"/>
      <c r="L734" s="429"/>
      <c r="M734" s="429"/>
      <c r="N734" s="429"/>
      <c r="O734" s="429"/>
      <c r="P734" s="429"/>
      <c r="Q734" s="429"/>
      <c r="R734" s="429"/>
      <c r="S734" s="429"/>
      <c r="T734" s="429"/>
      <c r="U734" s="429"/>
      <c r="V734" s="507"/>
      <c r="W734" s="519"/>
      <c r="X734" s="522"/>
      <c r="Y734" s="522"/>
    </row>
    <row r="735" spans="1:25" ht="22.5" customHeight="1" thickTop="1" thickBot="1" x14ac:dyDescent="0.3">
      <c r="A735" s="425"/>
      <c r="B735" s="505"/>
      <c r="C735" s="505"/>
      <c r="D735" s="505"/>
      <c r="E735" s="505"/>
      <c r="F735" s="505"/>
      <c r="G735" s="505"/>
      <c r="H735" s="505"/>
      <c r="I735" s="505"/>
      <c r="J735" s="505"/>
      <c r="K735" s="502"/>
      <c r="L735" s="429"/>
      <c r="M735" s="429"/>
      <c r="N735" s="429"/>
      <c r="O735" s="429"/>
      <c r="P735" s="429"/>
      <c r="Q735" s="429"/>
      <c r="R735" s="429"/>
      <c r="S735" s="429"/>
      <c r="T735" s="429"/>
      <c r="U735" s="429"/>
      <c r="V735" s="507"/>
      <c r="W735" s="519"/>
      <c r="X735" s="522"/>
      <c r="Y735" s="522"/>
    </row>
    <row r="736" spans="1:25" ht="22.5" customHeight="1" thickTop="1" thickBot="1" x14ac:dyDescent="0.3">
      <c r="A736" s="425"/>
      <c r="B736" s="505"/>
      <c r="C736" s="505"/>
      <c r="D736" s="505"/>
      <c r="E736" s="505"/>
      <c r="F736" s="505"/>
      <c r="G736" s="505"/>
      <c r="H736" s="505"/>
      <c r="I736" s="505"/>
      <c r="J736" s="505"/>
      <c r="K736" s="502"/>
      <c r="L736" s="429"/>
      <c r="M736" s="429"/>
      <c r="N736" s="429"/>
      <c r="O736" s="429"/>
      <c r="P736" s="429"/>
      <c r="Q736" s="429"/>
      <c r="R736" s="429"/>
      <c r="S736" s="429"/>
      <c r="T736" s="429"/>
      <c r="U736" s="429"/>
      <c r="V736" s="507"/>
      <c r="W736" s="519"/>
      <c r="X736" s="522"/>
      <c r="Y736" s="522"/>
    </row>
    <row r="737" spans="1:25" s="174" customFormat="1" ht="22.5" customHeight="1" thickTop="1" thickBot="1" x14ac:dyDescent="0.3">
      <c r="A737" s="425"/>
      <c r="B737" s="505"/>
      <c r="C737" s="505"/>
      <c r="D737" s="505"/>
      <c r="E737" s="505"/>
      <c r="F737" s="505"/>
      <c r="G737" s="505"/>
      <c r="H737" s="519"/>
      <c r="I737" s="519"/>
      <c r="J737" s="519"/>
      <c r="K737" s="501"/>
      <c r="L737" s="428"/>
      <c r="M737" s="428"/>
      <c r="N737" s="428"/>
      <c r="O737" s="428"/>
      <c r="P737" s="428"/>
      <c r="Q737" s="428"/>
      <c r="R737" s="428"/>
      <c r="S737" s="428"/>
      <c r="T737" s="428"/>
      <c r="U737" s="428"/>
      <c r="V737" s="506"/>
      <c r="W737" s="519"/>
      <c r="X737" s="522"/>
      <c r="Y737" s="522"/>
    </row>
    <row r="738" spans="1:25" ht="22.5" customHeight="1" thickTop="1" thickBot="1" x14ac:dyDescent="0.3">
      <c r="A738" s="425"/>
      <c r="B738" s="505"/>
      <c r="C738" s="505"/>
      <c r="D738" s="505"/>
      <c r="E738" s="505"/>
      <c r="F738" s="505"/>
      <c r="G738" s="505"/>
      <c r="H738" s="505"/>
      <c r="I738" s="505"/>
      <c r="J738" s="505"/>
      <c r="K738" s="502"/>
      <c r="L738" s="429"/>
      <c r="M738" s="429"/>
      <c r="N738" s="429"/>
      <c r="O738" s="429"/>
      <c r="P738" s="429"/>
      <c r="Q738" s="429"/>
      <c r="R738" s="429"/>
      <c r="S738" s="429"/>
      <c r="T738" s="429"/>
      <c r="U738" s="429"/>
      <c r="V738" s="507"/>
      <c r="W738" s="519"/>
      <c r="X738" s="522"/>
      <c r="Y738" s="522"/>
    </row>
    <row r="739" spans="1:25" ht="22.5" customHeight="1" thickTop="1" thickBot="1" x14ac:dyDescent="0.3">
      <c r="A739" s="425"/>
      <c r="B739" s="505"/>
      <c r="C739" s="505"/>
      <c r="D739" s="505"/>
      <c r="E739" s="505"/>
      <c r="F739" s="505"/>
      <c r="G739" s="505"/>
      <c r="H739" s="505"/>
      <c r="I739" s="505"/>
      <c r="J739" s="505"/>
      <c r="K739" s="502"/>
      <c r="L739" s="429"/>
      <c r="M739" s="429"/>
      <c r="N739" s="429"/>
      <c r="O739" s="429"/>
      <c r="P739" s="429"/>
      <c r="Q739" s="429"/>
      <c r="R739" s="429"/>
      <c r="S739" s="429"/>
      <c r="T739" s="429"/>
      <c r="U739" s="429"/>
      <c r="V739" s="507"/>
      <c r="W739" s="519"/>
      <c r="X739" s="522"/>
      <c r="Y739" s="522"/>
    </row>
    <row r="740" spans="1:25" ht="22.5" customHeight="1" thickTop="1" thickBot="1" x14ac:dyDescent="0.3">
      <c r="A740" s="425"/>
      <c r="B740" s="505"/>
      <c r="C740" s="505"/>
      <c r="D740" s="505"/>
      <c r="E740" s="505"/>
      <c r="F740" s="505"/>
      <c r="G740" s="505"/>
      <c r="H740" s="505"/>
      <c r="I740" s="505"/>
      <c r="J740" s="505"/>
      <c r="K740" s="502"/>
      <c r="L740" s="429"/>
      <c r="M740" s="429"/>
      <c r="N740" s="429"/>
      <c r="O740" s="429"/>
      <c r="P740" s="429"/>
      <c r="Q740" s="429"/>
      <c r="R740" s="429"/>
      <c r="S740" s="429"/>
      <c r="T740" s="429"/>
      <c r="U740" s="429"/>
      <c r="V740" s="507"/>
      <c r="W740" s="519"/>
      <c r="X740" s="522"/>
      <c r="Y740" s="522"/>
    </row>
    <row r="741" spans="1:25" ht="22.5" customHeight="1" thickTop="1" thickBot="1" x14ac:dyDescent="0.3">
      <c r="A741" s="425"/>
      <c r="B741" s="505"/>
      <c r="C741" s="505"/>
      <c r="D741" s="505"/>
      <c r="E741" s="505"/>
      <c r="F741" s="505"/>
      <c r="G741" s="505"/>
      <c r="H741" s="505"/>
      <c r="I741" s="505"/>
      <c r="J741" s="505"/>
      <c r="K741" s="502"/>
      <c r="L741" s="429"/>
      <c r="M741" s="429"/>
      <c r="N741" s="429"/>
      <c r="O741" s="429"/>
      <c r="P741" s="429"/>
      <c r="Q741" s="429"/>
      <c r="R741" s="429"/>
      <c r="S741" s="429"/>
      <c r="T741" s="429"/>
      <c r="U741" s="429"/>
      <c r="V741" s="507"/>
      <c r="W741" s="519"/>
      <c r="X741" s="522"/>
      <c r="Y741" s="522"/>
    </row>
    <row r="742" spans="1:25" ht="22.5" customHeight="1" thickTop="1" thickBot="1" x14ac:dyDescent="0.3">
      <c r="A742" s="425"/>
      <c r="B742" s="505"/>
      <c r="C742" s="505"/>
      <c r="D742" s="505"/>
      <c r="E742" s="505"/>
      <c r="F742" s="505"/>
      <c r="G742" s="505"/>
      <c r="H742" s="505"/>
      <c r="I742" s="505"/>
      <c r="J742" s="505"/>
      <c r="K742" s="502"/>
      <c r="L742" s="429"/>
      <c r="M742" s="429"/>
      <c r="N742" s="429"/>
      <c r="O742" s="429"/>
      <c r="P742" s="429"/>
      <c r="Q742" s="429"/>
      <c r="R742" s="429"/>
      <c r="S742" s="429"/>
      <c r="T742" s="429"/>
      <c r="U742" s="429"/>
      <c r="V742" s="507"/>
      <c r="W742" s="519"/>
      <c r="X742" s="522"/>
      <c r="Y742" s="522"/>
    </row>
    <row r="743" spans="1:25" ht="22.5" customHeight="1" thickTop="1" thickBot="1" x14ac:dyDescent="0.3">
      <c r="A743" s="425"/>
      <c r="B743" s="505"/>
      <c r="C743" s="505"/>
      <c r="D743" s="505"/>
      <c r="E743" s="505"/>
      <c r="F743" s="505"/>
      <c r="G743" s="505"/>
      <c r="H743" s="505"/>
      <c r="I743" s="505"/>
      <c r="J743" s="505"/>
      <c r="K743" s="502"/>
      <c r="L743" s="429"/>
      <c r="M743" s="429"/>
      <c r="N743" s="429"/>
      <c r="O743" s="429"/>
      <c r="P743" s="429"/>
      <c r="Q743" s="429"/>
      <c r="R743" s="429"/>
      <c r="S743" s="429"/>
      <c r="T743" s="429"/>
      <c r="U743" s="429"/>
      <c r="V743" s="507"/>
      <c r="W743" s="519"/>
      <c r="X743" s="522"/>
      <c r="Y743" s="522"/>
    </row>
    <row r="744" spans="1:25" ht="22.5" customHeight="1" thickTop="1" thickBot="1" x14ac:dyDescent="0.3">
      <c r="A744" s="425"/>
      <c r="B744" s="505"/>
      <c r="C744" s="505"/>
      <c r="D744" s="505"/>
      <c r="E744" s="505"/>
      <c r="F744" s="505"/>
      <c r="G744" s="505"/>
      <c r="H744" s="505"/>
      <c r="I744" s="505"/>
      <c r="J744" s="505"/>
      <c r="K744" s="502"/>
      <c r="L744" s="429"/>
      <c r="M744" s="429"/>
      <c r="N744" s="429"/>
      <c r="O744" s="429"/>
      <c r="P744" s="429"/>
      <c r="Q744" s="429"/>
      <c r="R744" s="429"/>
      <c r="S744" s="429"/>
      <c r="T744" s="429"/>
      <c r="U744" s="429"/>
      <c r="V744" s="507"/>
      <c r="W744" s="519"/>
      <c r="X744" s="522"/>
      <c r="Y744" s="522"/>
    </row>
    <row r="745" spans="1:25" ht="22.5" customHeight="1" thickTop="1" thickBot="1" x14ac:dyDescent="0.3">
      <c r="A745" s="425"/>
      <c r="B745" s="505"/>
      <c r="C745" s="505"/>
      <c r="D745" s="505"/>
      <c r="E745" s="505"/>
      <c r="F745" s="505"/>
      <c r="G745" s="505"/>
      <c r="H745" s="505"/>
      <c r="I745" s="505"/>
      <c r="J745" s="505"/>
      <c r="K745" s="502"/>
      <c r="L745" s="429"/>
      <c r="M745" s="429"/>
      <c r="N745" s="429"/>
      <c r="O745" s="429"/>
      <c r="P745" s="429"/>
      <c r="Q745" s="429"/>
      <c r="R745" s="429"/>
      <c r="S745" s="429"/>
      <c r="T745" s="429"/>
      <c r="U745" s="429"/>
      <c r="V745" s="507"/>
      <c r="W745" s="519"/>
      <c r="X745" s="522"/>
      <c r="Y745" s="522"/>
    </row>
    <row r="746" spans="1:25" ht="22.5" customHeight="1" thickTop="1" thickBot="1" x14ac:dyDescent="0.3">
      <c r="A746" s="425"/>
      <c r="B746" s="505"/>
      <c r="C746" s="505"/>
      <c r="D746" s="505"/>
      <c r="E746" s="505"/>
      <c r="F746" s="505"/>
      <c r="G746" s="505"/>
      <c r="H746" s="505"/>
      <c r="I746" s="505"/>
      <c r="J746" s="505"/>
      <c r="K746" s="502"/>
      <c r="L746" s="429"/>
      <c r="M746" s="429"/>
      <c r="N746" s="429"/>
      <c r="O746" s="429"/>
      <c r="P746" s="429"/>
      <c r="Q746" s="429"/>
      <c r="R746" s="429"/>
      <c r="S746" s="429"/>
      <c r="T746" s="429"/>
      <c r="U746" s="429"/>
      <c r="V746" s="507"/>
      <c r="W746" s="519"/>
      <c r="X746" s="522"/>
      <c r="Y746" s="522"/>
    </row>
    <row r="747" spans="1:25" ht="22.5" customHeight="1" thickTop="1" thickBot="1" x14ac:dyDescent="0.3">
      <c r="A747" s="425"/>
      <c r="B747" s="505"/>
      <c r="C747" s="505"/>
      <c r="D747" s="505"/>
      <c r="E747" s="505"/>
      <c r="F747" s="505"/>
      <c r="G747" s="505"/>
      <c r="H747" s="505"/>
      <c r="I747" s="505"/>
      <c r="J747" s="505"/>
      <c r="K747" s="502"/>
      <c r="L747" s="429"/>
      <c r="M747" s="429"/>
      <c r="N747" s="429"/>
      <c r="O747" s="429"/>
      <c r="P747" s="429"/>
      <c r="Q747" s="429"/>
      <c r="R747" s="429"/>
      <c r="S747" s="429"/>
      <c r="T747" s="429"/>
      <c r="U747" s="429"/>
      <c r="V747" s="507"/>
      <c r="W747" s="519"/>
      <c r="X747" s="522"/>
      <c r="Y747" s="522"/>
    </row>
    <row r="748" spans="1:25" ht="22.5" customHeight="1" thickTop="1" thickBot="1" x14ac:dyDescent="0.3">
      <c r="A748" s="425"/>
      <c r="B748" s="505"/>
      <c r="C748" s="505"/>
      <c r="D748" s="505"/>
      <c r="E748" s="505"/>
      <c r="F748" s="505"/>
      <c r="G748" s="505"/>
      <c r="H748" s="505"/>
      <c r="I748" s="505"/>
      <c r="J748" s="505"/>
      <c r="K748" s="502"/>
      <c r="L748" s="429"/>
      <c r="M748" s="429"/>
      <c r="N748" s="429"/>
      <c r="O748" s="429"/>
      <c r="P748" s="429"/>
      <c r="Q748" s="429"/>
      <c r="R748" s="429"/>
      <c r="S748" s="429"/>
      <c r="T748" s="429"/>
      <c r="U748" s="429"/>
      <c r="V748" s="507"/>
      <c r="W748" s="519"/>
      <c r="X748" s="522"/>
      <c r="Y748" s="522"/>
    </row>
    <row r="749" spans="1:25" s="174" customFormat="1" ht="22.5" customHeight="1" thickTop="1" thickBot="1" x14ac:dyDescent="0.3">
      <c r="A749" s="425"/>
      <c r="B749" s="505"/>
      <c r="C749" s="505"/>
      <c r="D749" s="505"/>
      <c r="E749" s="505"/>
      <c r="F749" s="505"/>
      <c r="G749" s="505"/>
      <c r="H749" s="519"/>
      <c r="I749" s="519"/>
      <c r="J749" s="519"/>
      <c r="K749" s="501"/>
      <c r="L749" s="428"/>
      <c r="M749" s="428"/>
      <c r="N749" s="428"/>
      <c r="O749" s="428"/>
      <c r="P749" s="428"/>
      <c r="Q749" s="428"/>
      <c r="R749" s="428"/>
      <c r="S749" s="428"/>
      <c r="T749" s="428"/>
      <c r="U749" s="428"/>
      <c r="V749" s="506"/>
      <c r="W749" s="519"/>
      <c r="X749" s="522"/>
      <c r="Y749" s="522"/>
    </row>
    <row r="750" spans="1:25" s="174" customFormat="1" ht="22.5" customHeight="1" thickTop="1" thickBot="1" x14ac:dyDescent="0.3">
      <c r="A750" s="505"/>
      <c r="B750" s="505"/>
      <c r="C750" s="505"/>
      <c r="D750" s="505"/>
      <c r="E750" s="505"/>
      <c r="F750" s="505"/>
      <c r="G750" s="505"/>
      <c r="H750" s="519"/>
      <c r="I750" s="519"/>
      <c r="J750" s="519"/>
      <c r="K750" s="501"/>
      <c r="L750" s="428"/>
      <c r="M750" s="428"/>
      <c r="N750" s="428"/>
      <c r="O750" s="428"/>
      <c r="P750" s="428"/>
      <c r="Q750" s="428"/>
      <c r="R750" s="428"/>
      <c r="S750" s="428"/>
      <c r="T750" s="428"/>
      <c r="U750" s="428"/>
      <c r="V750" s="506"/>
      <c r="W750" s="519"/>
      <c r="X750" s="522"/>
      <c r="Y750" s="522"/>
    </row>
    <row r="751" spans="1:25" s="174" customFormat="1" ht="22.5" customHeight="1" thickTop="1" thickBot="1" x14ac:dyDescent="0.3">
      <c r="A751" s="425"/>
      <c r="B751" s="505"/>
      <c r="C751" s="505"/>
      <c r="D751" s="505"/>
      <c r="E751" s="505"/>
      <c r="F751" s="505"/>
      <c r="G751" s="505"/>
      <c r="H751" s="519"/>
      <c r="I751" s="519"/>
      <c r="J751" s="519"/>
      <c r="K751" s="501"/>
      <c r="L751" s="428"/>
      <c r="M751" s="428"/>
      <c r="N751" s="428"/>
      <c r="O751" s="428"/>
      <c r="P751" s="428"/>
      <c r="Q751" s="428"/>
      <c r="R751" s="428"/>
      <c r="S751" s="428"/>
      <c r="T751" s="428"/>
      <c r="U751" s="428"/>
      <c r="V751" s="506"/>
      <c r="W751" s="424"/>
      <c r="X751" s="522"/>
      <c r="Y751" s="522"/>
    </row>
    <row r="752" spans="1:25" s="174" customFormat="1" ht="22.5" customHeight="1" thickTop="1" thickBot="1" x14ac:dyDescent="0.3">
      <c r="A752" s="425"/>
      <c r="B752" s="505"/>
      <c r="C752" s="505"/>
      <c r="D752" s="505"/>
      <c r="E752" s="505"/>
      <c r="F752" s="505"/>
      <c r="G752" s="505"/>
      <c r="H752" s="505"/>
      <c r="I752" s="505"/>
      <c r="J752" s="505"/>
      <c r="K752" s="502"/>
      <c r="L752" s="428"/>
      <c r="M752" s="428"/>
      <c r="N752" s="428"/>
      <c r="O752" s="428"/>
      <c r="P752" s="428"/>
      <c r="Q752" s="428"/>
      <c r="R752" s="428"/>
      <c r="S752" s="428"/>
      <c r="T752" s="428"/>
      <c r="U752" s="428"/>
      <c r="V752" s="506"/>
      <c r="W752" s="424"/>
      <c r="X752" s="522"/>
      <c r="Y752" s="522"/>
    </row>
    <row r="753" spans="1:25" s="174" customFormat="1" ht="22.5" customHeight="1" thickTop="1" thickBot="1" x14ac:dyDescent="0.3">
      <c r="A753" s="425"/>
      <c r="B753" s="505"/>
      <c r="C753" s="505"/>
      <c r="D753" s="505"/>
      <c r="E753" s="505"/>
      <c r="F753" s="505"/>
      <c r="G753" s="505"/>
      <c r="H753" s="505"/>
      <c r="I753" s="505"/>
      <c r="J753" s="505"/>
      <c r="K753" s="502"/>
      <c r="L753" s="428"/>
      <c r="M753" s="428"/>
      <c r="N753" s="428"/>
      <c r="O753" s="428"/>
      <c r="P753" s="428"/>
      <c r="Q753" s="428"/>
      <c r="R753" s="428"/>
      <c r="S753" s="428"/>
      <c r="T753" s="428"/>
      <c r="U753" s="428"/>
      <c r="V753" s="506"/>
      <c r="W753" s="424"/>
      <c r="X753" s="522"/>
      <c r="Y753" s="522"/>
    </row>
    <row r="754" spans="1:25" s="174" customFormat="1" ht="22.5" customHeight="1" thickTop="1" thickBot="1" x14ac:dyDescent="0.3">
      <c r="A754" s="425"/>
      <c r="B754" s="505"/>
      <c r="C754" s="505"/>
      <c r="D754" s="505"/>
      <c r="E754" s="505"/>
      <c r="F754" s="505"/>
      <c r="G754" s="505"/>
      <c r="H754" s="505"/>
      <c r="I754" s="505"/>
      <c r="J754" s="505"/>
      <c r="K754" s="502"/>
      <c r="L754" s="428"/>
      <c r="M754" s="428"/>
      <c r="N754" s="428"/>
      <c r="O754" s="428"/>
      <c r="P754" s="428"/>
      <c r="Q754" s="428"/>
      <c r="R754" s="428"/>
      <c r="S754" s="428"/>
      <c r="T754" s="428"/>
      <c r="U754" s="428"/>
      <c r="V754" s="506"/>
      <c r="W754" s="424"/>
      <c r="X754" s="522"/>
      <c r="Y754" s="522"/>
    </row>
    <row r="755" spans="1:25" s="174" customFormat="1" ht="22.5" customHeight="1" thickTop="1" thickBot="1" x14ac:dyDescent="0.3">
      <c r="A755" s="425"/>
      <c r="B755" s="505"/>
      <c r="C755" s="505"/>
      <c r="D755" s="505"/>
      <c r="E755" s="505"/>
      <c r="F755" s="505"/>
      <c r="G755" s="505"/>
      <c r="H755" s="505"/>
      <c r="I755" s="505"/>
      <c r="J755" s="505"/>
      <c r="K755" s="502"/>
      <c r="L755" s="428"/>
      <c r="M755" s="428"/>
      <c r="N755" s="428"/>
      <c r="O755" s="428"/>
      <c r="P755" s="428"/>
      <c r="Q755" s="428"/>
      <c r="R755" s="428"/>
      <c r="S755" s="428"/>
      <c r="T755" s="428"/>
      <c r="U755" s="428"/>
      <c r="V755" s="506"/>
      <c r="W755" s="424"/>
      <c r="X755" s="522"/>
      <c r="Y755" s="522"/>
    </row>
    <row r="756" spans="1:25" s="174" customFormat="1" ht="22.5" customHeight="1" thickTop="1" thickBot="1" x14ac:dyDescent="0.3">
      <c r="A756" s="425"/>
      <c r="B756" s="505"/>
      <c r="C756" s="505"/>
      <c r="D756" s="505"/>
      <c r="E756" s="505"/>
      <c r="F756" s="505"/>
      <c r="G756" s="505"/>
      <c r="H756" s="505"/>
      <c r="I756" s="505"/>
      <c r="J756" s="505"/>
      <c r="K756" s="502"/>
      <c r="L756" s="428"/>
      <c r="M756" s="428"/>
      <c r="N756" s="428"/>
      <c r="O756" s="428"/>
      <c r="P756" s="428"/>
      <c r="Q756" s="428"/>
      <c r="R756" s="428"/>
      <c r="S756" s="428"/>
      <c r="T756" s="428"/>
      <c r="U756" s="428"/>
      <c r="V756" s="506"/>
      <c r="W756" s="424"/>
      <c r="X756" s="522"/>
      <c r="Y756" s="522"/>
    </row>
    <row r="757" spans="1:25" s="174" customFormat="1" ht="22.5" customHeight="1" thickTop="1" thickBot="1" x14ac:dyDescent="0.3">
      <c r="A757" s="425"/>
      <c r="B757" s="505"/>
      <c r="C757" s="505"/>
      <c r="D757" s="505"/>
      <c r="E757" s="505"/>
      <c r="F757" s="505"/>
      <c r="G757" s="505"/>
      <c r="H757" s="505"/>
      <c r="I757" s="505"/>
      <c r="J757" s="505"/>
      <c r="K757" s="502"/>
      <c r="L757" s="428"/>
      <c r="M757" s="428"/>
      <c r="N757" s="428"/>
      <c r="O757" s="428"/>
      <c r="P757" s="428"/>
      <c r="Q757" s="428"/>
      <c r="R757" s="428"/>
      <c r="S757" s="428"/>
      <c r="T757" s="428"/>
      <c r="U757" s="428"/>
      <c r="V757" s="506"/>
      <c r="W757" s="424"/>
      <c r="X757" s="522"/>
      <c r="Y757" s="522"/>
    </row>
    <row r="758" spans="1:25" s="174" customFormat="1" ht="22.5" customHeight="1" thickTop="1" thickBot="1" x14ac:dyDescent="0.3">
      <c r="A758" s="425"/>
      <c r="B758" s="505"/>
      <c r="C758" s="505"/>
      <c r="D758" s="505"/>
      <c r="E758" s="505"/>
      <c r="F758" s="505"/>
      <c r="G758" s="505"/>
      <c r="H758" s="505"/>
      <c r="I758" s="505"/>
      <c r="J758" s="505"/>
      <c r="K758" s="502"/>
      <c r="L758" s="428"/>
      <c r="M758" s="428"/>
      <c r="N758" s="428"/>
      <c r="O758" s="428"/>
      <c r="P758" s="428"/>
      <c r="Q758" s="428"/>
      <c r="R758" s="428"/>
      <c r="S758" s="428"/>
      <c r="T758" s="428"/>
      <c r="U758" s="428"/>
      <c r="V758" s="506"/>
      <c r="W758" s="424"/>
      <c r="X758" s="522"/>
      <c r="Y758" s="522"/>
    </row>
    <row r="759" spans="1:25" s="174" customFormat="1" ht="22.5" customHeight="1" thickTop="1" thickBot="1" x14ac:dyDescent="0.3">
      <c r="A759" s="425"/>
      <c r="B759" s="505"/>
      <c r="C759" s="505"/>
      <c r="D759" s="505"/>
      <c r="E759" s="505"/>
      <c r="F759" s="505"/>
      <c r="G759" s="505"/>
      <c r="H759" s="505"/>
      <c r="I759" s="505"/>
      <c r="J759" s="505"/>
      <c r="K759" s="502"/>
      <c r="L759" s="428"/>
      <c r="M759" s="428"/>
      <c r="N759" s="428"/>
      <c r="O759" s="428"/>
      <c r="P759" s="428"/>
      <c r="Q759" s="428"/>
      <c r="R759" s="428"/>
      <c r="S759" s="428"/>
      <c r="T759" s="428"/>
      <c r="U759" s="428"/>
      <c r="V759" s="506"/>
      <c r="W759" s="424"/>
      <c r="X759" s="522"/>
      <c r="Y759" s="522"/>
    </row>
    <row r="760" spans="1:25" s="174" customFormat="1" ht="22.5" customHeight="1" thickTop="1" thickBot="1" x14ac:dyDescent="0.3">
      <c r="A760" s="425"/>
      <c r="B760" s="505"/>
      <c r="C760" s="505"/>
      <c r="D760" s="505"/>
      <c r="E760" s="505"/>
      <c r="F760" s="505"/>
      <c r="G760" s="505"/>
      <c r="H760" s="505"/>
      <c r="I760" s="505"/>
      <c r="J760" s="505"/>
      <c r="K760" s="502"/>
      <c r="L760" s="428"/>
      <c r="M760" s="428"/>
      <c r="N760" s="428"/>
      <c r="O760" s="428"/>
      <c r="P760" s="428"/>
      <c r="Q760" s="428"/>
      <c r="R760" s="428"/>
      <c r="S760" s="428"/>
      <c r="T760" s="428"/>
      <c r="U760" s="428"/>
      <c r="V760" s="506"/>
      <c r="W760" s="424"/>
      <c r="X760" s="522"/>
      <c r="Y760" s="522"/>
    </row>
    <row r="761" spans="1:25" s="174" customFormat="1" ht="22.5" customHeight="1" thickTop="1" thickBot="1" x14ac:dyDescent="0.3">
      <c r="A761" s="425"/>
      <c r="B761" s="505"/>
      <c r="C761" s="505"/>
      <c r="D761" s="505"/>
      <c r="E761" s="505"/>
      <c r="F761" s="505"/>
      <c r="G761" s="505"/>
      <c r="H761" s="505"/>
      <c r="I761" s="505"/>
      <c r="J761" s="505"/>
      <c r="K761" s="502"/>
      <c r="L761" s="428"/>
      <c r="M761" s="428"/>
      <c r="N761" s="428"/>
      <c r="O761" s="428"/>
      <c r="P761" s="428"/>
      <c r="Q761" s="428"/>
      <c r="R761" s="428"/>
      <c r="S761" s="428"/>
      <c r="T761" s="428"/>
      <c r="U761" s="428"/>
      <c r="V761" s="506"/>
      <c r="W761" s="424"/>
      <c r="X761" s="522"/>
      <c r="Y761" s="522"/>
    </row>
    <row r="762" spans="1:25" s="174" customFormat="1" ht="22.5" customHeight="1" thickTop="1" thickBot="1" x14ac:dyDescent="0.3">
      <c r="A762" s="425"/>
      <c r="B762" s="505"/>
      <c r="C762" s="505"/>
      <c r="D762" s="505"/>
      <c r="E762" s="505"/>
      <c r="F762" s="505"/>
      <c r="G762" s="505"/>
      <c r="H762" s="505"/>
      <c r="I762" s="505"/>
      <c r="J762" s="505"/>
      <c r="K762" s="502"/>
      <c r="L762" s="428"/>
      <c r="M762" s="428"/>
      <c r="N762" s="428"/>
      <c r="O762" s="428"/>
      <c r="P762" s="428"/>
      <c r="Q762" s="428"/>
      <c r="R762" s="428"/>
      <c r="S762" s="428"/>
      <c r="T762" s="428"/>
      <c r="U762" s="428"/>
      <c r="V762" s="506"/>
      <c r="W762" s="424"/>
      <c r="X762" s="522"/>
      <c r="Y762" s="522"/>
    </row>
    <row r="763" spans="1:25" s="174" customFormat="1" ht="22.5" customHeight="1" thickTop="1" thickBot="1" x14ac:dyDescent="0.3">
      <c r="A763" s="425"/>
      <c r="B763" s="505"/>
      <c r="C763" s="505"/>
      <c r="D763" s="505"/>
      <c r="E763" s="505"/>
      <c r="F763" s="505"/>
      <c r="G763" s="505"/>
      <c r="H763" s="519"/>
      <c r="I763" s="519"/>
      <c r="J763" s="519"/>
      <c r="K763" s="501"/>
      <c r="L763" s="428"/>
      <c r="M763" s="428"/>
      <c r="N763" s="428"/>
      <c r="O763" s="428"/>
      <c r="P763" s="428"/>
      <c r="Q763" s="428"/>
      <c r="R763" s="428"/>
      <c r="S763" s="428"/>
      <c r="T763" s="428"/>
      <c r="U763" s="428"/>
      <c r="V763" s="506"/>
      <c r="W763" s="519"/>
      <c r="X763" s="522"/>
      <c r="Y763" s="522"/>
    </row>
    <row r="764" spans="1:25" s="174" customFormat="1" ht="22.5" customHeight="1" thickTop="1" thickBot="1" x14ac:dyDescent="0.3">
      <c r="A764" s="425"/>
      <c r="B764" s="505"/>
      <c r="C764" s="505"/>
      <c r="D764" s="505"/>
      <c r="E764" s="505"/>
      <c r="F764" s="505"/>
      <c r="G764" s="505"/>
      <c r="H764" s="505"/>
      <c r="I764" s="505"/>
      <c r="J764" s="505"/>
      <c r="K764" s="502"/>
      <c r="L764" s="428"/>
      <c r="M764" s="428"/>
      <c r="N764" s="428"/>
      <c r="O764" s="428"/>
      <c r="P764" s="428"/>
      <c r="Q764" s="428"/>
      <c r="R764" s="428"/>
      <c r="S764" s="428"/>
      <c r="T764" s="428"/>
      <c r="U764" s="428"/>
      <c r="V764" s="506"/>
      <c r="W764" s="519"/>
      <c r="X764" s="522"/>
      <c r="Y764" s="522"/>
    </row>
    <row r="765" spans="1:25" s="174" customFormat="1" ht="22.5" customHeight="1" thickTop="1" thickBot="1" x14ac:dyDescent="0.3">
      <c r="A765" s="425"/>
      <c r="B765" s="505"/>
      <c r="C765" s="505"/>
      <c r="D765" s="505"/>
      <c r="E765" s="505"/>
      <c r="F765" s="505"/>
      <c r="G765" s="505"/>
      <c r="H765" s="505"/>
      <c r="I765" s="505"/>
      <c r="J765" s="505"/>
      <c r="K765" s="502"/>
      <c r="L765" s="428"/>
      <c r="M765" s="428"/>
      <c r="N765" s="428"/>
      <c r="O765" s="428"/>
      <c r="P765" s="428"/>
      <c r="Q765" s="428"/>
      <c r="R765" s="428"/>
      <c r="S765" s="428"/>
      <c r="T765" s="428"/>
      <c r="U765" s="428"/>
      <c r="V765" s="506"/>
      <c r="W765" s="519"/>
      <c r="X765" s="522"/>
      <c r="Y765" s="522"/>
    </row>
    <row r="766" spans="1:25" s="174" customFormat="1" ht="22.5" customHeight="1" thickTop="1" thickBot="1" x14ac:dyDescent="0.3">
      <c r="A766" s="425"/>
      <c r="B766" s="505"/>
      <c r="C766" s="505"/>
      <c r="D766" s="505"/>
      <c r="E766" s="505"/>
      <c r="F766" s="505"/>
      <c r="G766" s="505"/>
      <c r="H766" s="505"/>
      <c r="I766" s="505"/>
      <c r="J766" s="505"/>
      <c r="K766" s="502"/>
      <c r="L766" s="428"/>
      <c r="M766" s="428"/>
      <c r="N766" s="428"/>
      <c r="O766" s="428"/>
      <c r="P766" s="428"/>
      <c r="Q766" s="428"/>
      <c r="R766" s="428"/>
      <c r="S766" s="428"/>
      <c r="T766" s="428"/>
      <c r="U766" s="428"/>
      <c r="V766" s="506"/>
      <c r="W766" s="519"/>
      <c r="X766" s="522"/>
      <c r="Y766" s="522"/>
    </row>
    <row r="767" spans="1:25" s="174" customFormat="1" ht="22.5" customHeight="1" thickTop="1" thickBot="1" x14ac:dyDescent="0.3">
      <c r="A767" s="425"/>
      <c r="B767" s="505"/>
      <c r="C767" s="505"/>
      <c r="D767" s="505"/>
      <c r="E767" s="505"/>
      <c r="F767" s="505"/>
      <c r="G767" s="505"/>
      <c r="H767" s="505"/>
      <c r="I767" s="505"/>
      <c r="J767" s="505"/>
      <c r="K767" s="502"/>
      <c r="L767" s="428"/>
      <c r="M767" s="428"/>
      <c r="N767" s="428"/>
      <c r="O767" s="428"/>
      <c r="P767" s="428"/>
      <c r="Q767" s="428"/>
      <c r="R767" s="428"/>
      <c r="S767" s="428"/>
      <c r="T767" s="428"/>
      <c r="U767" s="428"/>
      <c r="V767" s="506"/>
      <c r="W767" s="519"/>
      <c r="X767" s="522"/>
      <c r="Y767" s="522"/>
    </row>
    <row r="768" spans="1:25" s="174" customFormat="1" ht="22.5" customHeight="1" thickTop="1" thickBot="1" x14ac:dyDescent="0.3">
      <c r="A768" s="425"/>
      <c r="B768" s="505"/>
      <c r="C768" s="505"/>
      <c r="D768" s="505"/>
      <c r="E768" s="505"/>
      <c r="F768" s="505"/>
      <c r="G768" s="505"/>
      <c r="H768" s="505"/>
      <c r="I768" s="505"/>
      <c r="J768" s="505"/>
      <c r="K768" s="502"/>
      <c r="L768" s="428"/>
      <c r="M768" s="428"/>
      <c r="N768" s="428"/>
      <c r="O768" s="428"/>
      <c r="P768" s="428"/>
      <c r="Q768" s="428"/>
      <c r="R768" s="428"/>
      <c r="S768" s="428"/>
      <c r="T768" s="428"/>
      <c r="U768" s="428"/>
      <c r="V768" s="506"/>
      <c r="W768" s="519"/>
      <c r="X768" s="522"/>
      <c r="Y768" s="522"/>
    </row>
    <row r="769" spans="1:25" s="174" customFormat="1" ht="22.5" customHeight="1" thickTop="1" thickBot="1" x14ac:dyDescent="0.3">
      <c r="A769" s="425"/>
      <c r="B769" s="505"/>
      <c r="C769" s="505"/>
      <c r="D769" s="505"/>
      <c r="E769" s="505"/>
      <c r="F769" s="505"/>
      <c r="G769" s="505"/>
      <c r="H769" s="505"/>
      <c r="I769" s="505"/>
      <c r="J769" s="505"/>
      <c r="K769" s="502"/>
      <c r="L769" s="428"/>
      <c r="M769" s="428"/>
      <c r="N769" s="428"/>
      <c r="O769" s="428"/>
      <c r="P769" s="428"/>
      <c r="Q769" s="428"/>
      <c r="R769" s="428"/>
      <c r="S769" s="428"/>
      <c r="T769" s="428"/>
      <c r="U769" s="428"/>
      <c r="V769" s="506"/>
      <c r="W769" s="519"/>
      <c r="X769" s="522"/>
      <c r="Y769" s="522"/>
    </row>
    <row r="770" spans="1:25" s="174" customFormat="1" ht="22.5" customHeight="1" thickTop="1" thickBot="1" x14ac:dyDescent="0.3">
      <c r="A770" s="425"/>
      <c r="B770" s="505"/>
      <c r="C770" s="505"/>
      <c r="D770" s="505"/>
      <c r="E770" s="505"/>
      <c r="F770" s="505"/>
      <c r="G770" s="505"/>
      <c r="H770" s="505"/>
      <c r="I770" s="505"/>
      <c r="J770" s="505"/>
      <c r="K770" s="502"/>
      <c r="L770" s="428"/>
      <c r="M770" s="428"/>
      <c r="N770" s="428"/>
      <c r="O770" s="428"/>
      <c r="P770" s="428"/>
      <c r="Q770" s="428"/>
      <c r="R770" s="428"/>
      <c r="S770" s="428"/>
      <c r="T770" s="428"/>
      <c r="U770" s="428"/>
      <c r="V770" s="506"/>
      <c r="W770" s="519"/>
      <c r="X770" s="522"/>
      <c r="Y770" s="522"/>
    </row>
    <row r="771" spans="1:25" s="174" customFormat="1" ht="22.5" customHeight="1" thickTop="1" thickBot="1" x14ac:dyDescent="0.3">
      <c r="A771" s="425"/>
      <c r="B771" s="505"/>
      <c r="C771" s="505"/>
      <c r="D771" s="505"/>
      <c r="E771" s="505"/>
      <c r="F771" s="505"/>
      <c r="G771" s="505"/>
      <c r="H771" s="505"/>
      <c r="I771" s="505"/>
      <c r="J771" s="505"/>
      <c r="K771" s="502"/>
      <c r="L771" s="428"/>
      <c r="M771" s="428"/>
      <c r="N771" s="428"/>
      <c r="O771" s="428"/>
      <c r="P771" s="428"/>
      <c r="Q771" s="428"/>
      <c r="R771" s="428"/>
      <c r="S771" s="428"/>
      <c r="T771" s="428"/>
      <c r="U771" s="428"/>
      <c r="V771" s="506"/>
      <c r="W771" s="519"/>
      <c r="X771" s="522"/>
      <c r="Y771" s="522"/>
    </row>
    <row r="772" spans="1:25" s="174" customFormat="1" ht="22.5" customHeight="1" thickTop="1" thickBot="1" x14ac:dyDescent="0.3">
      <c r="A772" s="425"/>
      <c r="B772" s="505"/>
      <c r="C772" s="505"/>
      <c r="D772" s="505"/>
      <c r="E772" s="505"/>
      <c r="F772" s="505"/>
      <c r="G772" s="505"/>
      <c r="H772" s="505"/>
      <c r="I772" s="505"/>
      <c r="J772" s="505"/>
      <c r="K772" s="502"/>
      <c r="L772" s="428"/>
      <c r="M772" s="428"/>
      <c r="N772" s="428"/>
      <c r="O772" s="428"/>
      <c r="P772" s="428"/>
      <c r="Q772" s="428"/>
      <c r="R772" s="428"/>
      <c r="S772" s="428"/>
      <c r="T772" s="428"/>
      <c r="U772" s="428"/>
      <c r="V772" s="506"/>
      <c r="W772" s="519"/>
      <c r="X772" s="522"/>
      <c r="Y772" s="522"/>
    </row>
    <row r="773" spans="1:25" s="174" customFormat="1" ht="22.5" customHeight="1" thickTop="1" thickBot="1" x14ac:dyDescent="0.3">
      <c r="A773" s="425"/>
      <c r="B773" s="505"/>
      <c r="C773" s="505"/>
      <c r="D773" s="505"/>
      <c r="E773" s="505"/>
      <c r="F773" s="505"/>
      <c r="G773" s="505"/>
      <c r="H773" s="505"/>
      <c r="I773" s="505"/>
      <c r="J773" s="505"/>
      <c r="K773" s="502"/>
      <c r="L773" s="428"/>
      <c r="M773" s="428"/>
      <c r="N773" s="428"/>
      <c r="O773" s="428"/>
      <c r="P773" s="428"/>
      <c r="Q773" s="428"/>
      <c r="R773" s="428"/>
      <c r="S773" s="428"/>
      <c r="T773" s="428"/>
      <c r="U773" s="428"/>
      <c r="V773" s="506"/>
      <c r="W773" s="519"/>
      <c r="X773" s="522"/>
      <c r="Y773" s="522"/>
    </row>
    <row r="774" spans="1:25" s="174" customFormat="1" ht="22.5" customHeight="1" thickTop="1" thickBot="1" x14ac:dyDescent="0.3">
      <c r="A774" s="425"/>
      <c r="B774" s="505"/>
      <c r="C774" s="505"/>
      <c r="D774" s="505"/>
      <c r="E774" s="505"/>
      <c r="F774" s="505"/>
      <c r="G774" s="505"/>
      <c r="H774" s="505"/>
      <c r="I774" s="505"/>
      <c r="J774" s="505"/>
      <c r="K774" s="502"/>
      <c r="L774" s="428"/>
      <c r="M774" s="428"/>
      <c r="N774" s="428"/>
      <c r="O774" s="428"/>
      <c r="P774" s="428"/>
      <c r="Q774" s="428"/>
      <c r="R774" s="428"/>
      <c r="S774" s="428"/>
      <c r="T774" s="428"/>
      <c r="U774" s="428"/>
      <c r="V774" s="506"/>
      <c r="W774" s="519"/>
      <c r="X774" s="522"/>
      <c r="Y774" s="522"/>
    </row>
    <row r="775" spans="1:25" s="174" customFormat="1" ht="22.5" customHeight="1" thickTop="1" thickBot="1" x14ac:dyDescent="0.3">
      <c r="A775" s="425"/>
      <c r="B775" s="505"/>
      <c r="C775" s="505"/>
      <c r="D775" s="505"/>
      <c r="E775" s="505"/>
      <c r="F775" s="505"/>
      <c r="G775" s="505"/>
      <c r="H775" s="519"/>
      <c r="I775" s="519"/>
      <c r="J775" s="519"/>
      <c r="K775" s="501"/>
      <c r="L775" s="428"/>
      <c r="M775" s="428"/>
      <c r="N775" s="428"/>
      <c r="O775" s="428"/>
      <c r="P775" s="428"/>
      <c r="Q775" s="428"/>
      <c r="R775" s="428"/>
      <c r="S775" s="428"/>
      <c r="T775" s="428"/>
      <c r="U775" s="428"/>
      <c r="V775" s="506"/>
      <c r="W775" s="519"/>
      <c r="X775" s="522"/>
      <c r="Y775" s="522"/>
    </row>
    <row r="776" spans="1:25" s="174" customFormat="1" ht="22.5" customHeight="1" thickTop="1" thickBot="1" x14ac:dyDescent="0.3">
      <c r="A776" s="425"/>
      <c r="B776" s="505"/>
      <c r="C776" s="505"/>
      <c r="D776" s="505"/>
      <c r="E776" s="505"/>
      <c r="F776" s="505"/>
      <c r="G776" s="505"/>
      <c r="H776" s="505"/>
      <c r="I776" s="505"/>
      <c r="J776" s="505"/>
      <c r="K776" s="502"/>
      <c r="L776" s="428"/>
      <c r="M776" s="428"/>
      <c r="N776" s="428"/>
      <c r="O776" s="428"/>
      <c r="P776" s="428"/>
      <c r="Q776" s="428"/>
      <c r="R776" s="428"/>
      <c r="S776" s="428"/>
      <c r="T776" s="428"/>
      <c r="U776" s="428"/>
      <c r="V776" s="506"/>
      <c r="W776" s="519"/>
      <c r="X776" s="522"/>
      <c r="Y776" s="522"/>
    </row>
    <row r="777" spans="1:25" s="174" customFormat="1" ht="22.5" customHeight="1" thickTop="1" thickBot="1" x14ac:dyDescent="0.3">
      <c r="A777" s="425"/>
      <c r="B777" s="505"/>
      <c r="C777" s="505"/>
      <c r="D777" s="505"/>
      <c r="E777" s="505"/>
      <c r="F777" s="505"/>
      <c r="G777" s="505"/>
      <c r="H777" s="505"/>
      <c r="I777" s="505"/>
      <c r="J777" s="505"/>
      <c r="K777" s="502"/>
      <c r="L777" s="428"/>
      <c r="M777" s="428"/>
      <c r="N777" s="428"/>
      <c r="O777" s="428"/>
      <c r="P777" s="428"/>
      <c r="Q777" s="428"/>
      <c r="R777" s="428"/>
      <c r="S777" s="428"/>
      <c r="T777" s="428"/>
      <c r="U777" s="428"/>
      <c r="V777" s="506"/>
      <c r="W777" s="519"/>
      <c r="X777" s="522"/>
      <c r="Y777" s="522"/>
    </row>
    <row r="778" spans="1:25" s="174" customFormat="1" ht="22.5" customHeight="1" thickTop="1" thickBot="1" x14ac:dyDescent="0.3">
      <c r="A778" s="425"/>
      <c r="B778" s="505"/>
      <c r="C778" s="505"/>
      <c r="D778" s="505"/>
      <c r="E778" s="505"/>
      <c r="F778" s="505"/>
      <c r="G778" s="505"/>
      <c r="H778" s="505"/>
      <c r="I778" s="505"/>
      <c r="J778" s="505"/>
      <c r="K778" s="502"/>
      <c r="L778" s="428"/>
      <c r="M778" s="428"/>
      <c r="N778" s="428"/>
      <c r="O778" s="428"/>
      <c r="P778" s="428"/>
      <c r="Q778" s="428"/>
      <c r="R778" s="428"/>
      <c r="S778" s="428"/>
      <c r="T778" s="428"/>
      <c r="U778" s="428"/>
      <c r="V778" s="506"/>
      <c r="W778" s="519"/>
      <c r="X778" s="522"/>
      <c r="Y778" s="522"/>
    </row>
    <row r="779" spans="1:25" s="174" customFormat="1" ht="22.5" customHeight="1" thickTop="1" thickBot="1" x14ac:dyDescent="0.3">
      <c r="A779" s="425"/>
      <c r="B779" s="505"/>
      <c r="C779" s="505"/>
      <c r="D779" s="505"/>
      <c r="E779" s="505"/>
      <c r="F779" s="505"/>
      <c r="G779" s="505"/>
      <c r="H779" s="505"/>
      <c r="I779" s="505"/>
      <c r="J779" s="505"/>
      <c r="K779" s="502"/>
      <c r="L779" s="428"/>
      <c r="M779" s="428"/>
      <c r="N779" s="428"/>
      <c r="O779" s="428"/>
      <c r="P779" s="428"/>
      <c r="Q779" s="428"/>
      <c r="R779" s="428"/>
      <c r="S779" s="428"/>
      <c r="T779" s="428"/>
      <c r="U779" s="428"/>
      <c r="V779" s="506"/>
      <c r="W779" s="519"/>
      <c r="X779" s="522"/>
      <c r="Y779" s="522"/>
    </row>
    <row r="780" spans="1:25" s="174" customFormat="1" ht="22.5" customHeight="1" thickTop="1" thickBot="1" x14ac:dyDescent="0.3">
      <c r="A780" s="425"/>
      <c r="B780" s="505"/>
      <c r="C780" s="505"/>
      <c r="D780" s="505"/>
      <c r="E780" s="505"/>
      <c r="F780" s="505"/>
      <c r="G780" s="505"/>
      <c r="H780" s="505"/>
      <c r="I780" s="505"/>
      <c r="J780" s="505"/>
      <c r="K780" s="502"/>
      <c r="L780" s="428"/>
      <c r="M780" s="428"/>
      <c r="N780" s="428"/>
      <c r="O780" s="428"/>
      <c r="P780" s="428"/>
      <c r="Q780" s="428"/>
      <c r="R780" s="428"/>
      <c r="S780" s="428"/>
      <c r="T780" s="428"/>
      <c r="U780" s="428"/>
      <c r="V780" s="506"/>
      <c r="W780" s="519"/>
      <c r="X780" s="522"/>
      <c r="Y780" s="522"/>
    </row>
    <row r="781" spans="1:25" s="174" customFormat="1" ht="22.5" customHeight="1" thickTop="1" thickBot="1" x14ac:dyDescent="0.3">
      <c r="A781" s="425"/>
      <c r="B781" s="505"/>
      <c r="C781" s="505"/>
      <c r="D781" s="505"/>
      <c r="E781" s="505"/>
      <c r="F781" s="505"/>
      <c r="G781" s="505"/>
      <c r="H781" s="505"/>
      <c r="I781" s="505"/>
      <c r="J781" s="505"/>
      <c r="K781" s="502"/>
      <c r="L781" s="428"/>
      <c r="M781" s="428"/>
      <c r="N781" s="428"/>
      <c r="O781" s="428"/>
      <c r="P781" s="428"/>
      <c r="Q781" s="428"/>
      <c r="R781" s="428"/>
      <c r="S781" s="428"/>
      <c r="T781" s="428"/>
      <c r="U781" s="428"/>
      <c r="V781" s="506"/>
      <c r="W781" s="519"/>
      <c r="X781" s="522"/>
      <c r="Y781" s="522"/>
    </row>
    <row r="782" spans="1:25" s="174" customFormat="1" ht="22.5" customHeight="1" thickTop="1" thickBot="1" x14ac:dyDescent="0.3">
      <c r="A782" s="425"/>
      <c r="B782" s="505"/>
      <c r="C782" s="505"/>
      <c r="D782" s="505"/>
      <c r="E782" s="505"/>
      <c r="F782" s="505"/>
      <c r="G782" s="505"/>
      <c r="H782" s="505"/>
      <c r="I782" s="505"/>
      <c r="J782" s="505"/>
      <c r="K782" s="502"/>
      <c r="L782" s="428"/>
      <c r="M782" s="428"/>
      <c r="N782" s="428"/>
      <c r="O782" s="428"/>
      <c r="P782" s="428"/>
      <c r="Q782" s="428"/>
      <c r="R782" s="428"/>
      <c r="S782" s="428"/>
      <c r="T782" s="428"/>
      <c r="U782" s="428"/>
      <c r="V782" s="506"/>
      <c r="W782" s="519"/>
      <c r="X782" s="522"/>
      <c r="Y782" s="522"/>
    </row>
    <row r="783" spans="1:25" s="174" customFormat="1" ht="22.5" customHeight="1" thickTop="1" thickBot="1" x14ac:dyDescent="0.3">
      <c r="A783" s="425"/>
      <c r="B783" s="505"/>
      <c r="C783" s="505"/>
      <c r="D783" s="505"/>
      <c r="E783" s="505"/>
      <c r="F783" s="505"/>
      <c r="G783" s="505"/>
      <c r="H783" s="505"/>
      <c r="I783" s="505"/>
      <c r="J783" s="505"/>
      <c r="K783" s="502"/>
      <c r="L783" s="428"/>
      <c r="M783" s="428"/>
      <c r="N783" s="428"/>
      <c r="O783" s="428"/>
      <c r="P783" s="428"/>
      <c r="Q783" s="428"/>
      <c r="R783" s="428"/>
      <c r="S783" s="428"/>
      <c r="T783" s="428"/>
      <c r="U783" s="428"/>
      <c r="V783" s="506"/>
      <c r="W783" s="519"/>
      <c r="X783" s="522"/>
      <c r="Y783" s="522"/>
    </row>
    <row r="784" spans="1:25" s="174" customFormat="1" ht="22.5" customHeight="1" thickTop="1" thickBot="1" x14ac:dyDescent="0.3">
      <c r="A784" s="425"/>
      <c r="B784" s="505"/>
      <c r="C784" s="505"/>
      <c r="D784" s="505"/>
      <c r="E784" s="505"/>
      <c r="F784" s="505"/>
      <c r="G784" s="505"/>
      <c r="H784" s="505"/>
      <c r="I784" s="505"/>
      <c r="J784" s="505"/>
      <c r="K784" s="502"/>
      <c r="L784" s="428"/>
      <c r="M784" s="428"/>
      <c r="N784" s="428"/>
      <c r="O784" s="428"/>
      <c r="P784" s="428"/>
      <c r="Q784" s="428"/>
      <c r="R784" s="428"/>
      <c r="S784" s="428"/>
      <c r="T784" s="428"/>
      <c r="U784" s="428"/>
      <c r="V784" s="506"/>
      <c r="W784" s="519"/>
      <c r="X784" s="522"/>
      <c r="Y784" s="522"/>
    </row>
    <row r="785" spans="1:25" s="174" customFormat="1" ht="22.5" customHeight="1" thickTop="1" thickBot="1" x14ac:dyDescent="0.3">
      <c r="A785" s="425"/>
      <c r="B785" s="505"/>
      <c r="C785" s="505"/>
      <c r="D785" s="505"/>
      <c r="E785" s="505"/>
      <c r="F785" s="505"/>
      <c r="G785" s="505"/>
      <c r="H785" s="505"/>
      <c r="I785" s="505"/>
      <c r="J785" s="505"/>
      <c r="K785" s="502"/>
      <c r="L785" s="428"/>
      <c r="M785" s="428"/>
      <c r="N785" s="428"/>
      <c r="O785" s="428"/>
      <c r="P785" s="428"/>
      <c r="Q785" s="428"/>
      <c r="R785" s="428"/>
      <c r="S785" s="428"/>
      <c r="T785" s="428"/>
      <c r="U785" s="428"/>
      <c r="V785" s="506"/>
      <c r="W785" s="519"/>
      <c r="X785" s="522"/>
      <c r="Y785" s="522"/>
    </row>
    <row r="786" spans="1:25" s="174" customFormat="1" ht="22.5" customHeight="1" thickTop="1" thickBot="1" x14ac:dyDescent="0.3">
      <c r="A786" s="425"/>
      <c r="B786" s="505"/>
      <c r="C786" s="505"/>
      <c r="D786" s="505"/>
      <c r="E786" s="505"/>
      <c r="F786" s="505"/>
      <c r="G786" s="505"/>
      <c r="H786" s="505"/>
      <c r="I786" s="505"/>
      <c r="J786" s="505"/>
      <c r="K786" s="502"/>
      <c r="L786" s="428"/>
      <c r="M786" s="428"/>
      <c r="N786" s="428"/>
      <c r="O786" s="428"/>
      <c r="P786" s="428"/>
      <c r="Q786" s="428"/>
      <c r="R786" s="428"/>
      <c r="S786" s="428"/>
      <c r="T786" s="428"/>
      <c r="U786" s="428"/>
      <c r="V786" s="506"/>
      <c r="W786" s="519"/>
      <c r="X786" s="522"/>
      <c r="Y786" s="522"/>
    </row>
    <row r="787" spans="1:25" s="174" customFormat="1" ht="22.5" customHeight="1" thickTop="1" thickBot="1" x14ac:dyDescent="0.3">
      <c r="A787" s="425"/>
      <c r="B787" s="505"/>
      <c r="C787" s="505"/>
      <c r="D787" s="505"/>
      <c r="E787" s="505"/>
      <c r="F787" s="505"/>
      <c r="G787" s="505"/>
      <c r="H787" s="519"/>
      <c r="I787" s="519"/>
      <c r="J787" s="519"/>
      <c r="K787" s="501"/>
      <c r="L787" s="428"/>
      <c r="M787" s="428"/>
      <c r="N787" s="428"/>
      <c r="O787" s="428"/>
      <c r="P787" s="428"/>
      <c r="Q787" s="428"/>
      <c r="R787" s="428"/>
      <c r="S787" s="428"/>
      <c r="T787" s="428"/>
      <c r="U787" s="428"/>
      <c r="V787" s="506"/>
      <c r="W787" s="519"/>
      <c r="X787" s="522"/>
      <c r="Y787" s="522"/>
    </row>
    <row r="788" spans="1:25" s="174" customFormat="1" ht="22.5" customHeight="1" thickTop="1" thickBot="1" x14ac:dyDescent="0.3">
      <c r="A788" s="425"/>
      <c r="B788" s="505"/>
      <c r="C788" s="505"/>
      <c r="D788" s="505"/>
      <c r="E788" s="505"/>
      <c r="F788" s="505"/>
      <c r="G788" s="505"/>
      <c r="H788" s="505"/>
      <c r="I788" s="505"/>
      <c r="J788" s="505"/>
      <c r="K788" s="502"/>
      <c r="L788" s="428"/>
      <c r="M788" s="428"/>
      <c r="N788" s="428"/>
      <c r="O788" s="428"/>
      <c r="P788" s="428"/>
      <c r="Q788" s="428"/>
      <c r="R788" s="428"/>
      <c r="S788" s="428"/>
      <c r="T788" s="428"/>
      <c r="U788" s="428"/>
      <c r="V788" s="506"/>
      <c r="W788" s="519"/>
      <c r="X788" s="522"/>
      <c r="Y788" s="522"/>
    </row>
    <row r="789" spans="1:25" s="174" customFormat="1" ht="22.5" customHeight="1" thickTop="1" thickBot="1" x14ac:dyDescent="0.3">
      <c r="A789" s="425"/>
      <c r="B789" s="505"/>
      <c r="C789" s="505"/>
      <c r="D789" s="505"/>
      <c r="E789" s="505"/>
      <c r="F789" s="505"/>
      <c r="G789" s="505"/>
      <c r="H789" s="505"/>
      <c r="I789" s="505"/>
      <c r="J789" s="505"/>
      <c r="K789" s="502"/>
      <c r="L789" s="428"/>
      <c r="M789" s="428"/>
      <c r="N789" s="428"/>
      <c r="O789" s="428"/>
      <c r="P789" s="428"/>
      <c r="Q789" s="428"/>
      <c r="R789" s="428"/>
      <c r="S789" s="428"/>
      <c r="T789" s="428"/>
      <c r="U789" s="428"/>
      <c r="V789" s="506"/>
      <c r="W789" s="519"/>
      <c r="X789" s="522"/>
      <c r="Y789" s="522"/>
    </row>
    <row r="790" spans="1:25" s="174" customFormat="1" ht="22.5" customHeight="1" thickTop="1" thickBot="1" x14ac:dyDescent="0.3">
      <c r="A790" s="425"/>
      <c r="B790" s="505"/>
      <c r="C790" s="505"/>
      <c r="D790" s="505"/>
      <c r="E790" s="505"/>
      <c r="F790" s="505"/>
      <c r="G790" s="505"/>
      <c r="H790" s="505"/>
      <c r="I790" s="505"/>
      <c r="J790" s="505"/>
      <c r="K790" s="502"/>
      <c r="L790" s="428"/>
      <c r="M790" s="428"/>
      <c r="N790" s="428"/>
      <c r="O790" s="428"/>
      <c r="P790" s="428"/>
      <c r="Q790" s="428"/>
      <c r="R790" s="428"/>
      <c r="S790" s="428"/>
      <c r="T790" s="428"/>
      <c r="U790" s="428"/>
      <c r="V790" s="506"/>
      <c r="W790" s="519"/>
      <c r="X790" s="522"/>
      <c r="Y790" s="522"/>
    </row>
    <row r="791" spans="1:25" s="174" customFormat="1" ht="22.5" customHeight="1" thickTop="1" thickBot="1" x14ac:dyDescent="0.3">
      <c r="A791" s="425"/>
      <c r="B791" s="505"/>
      <c r="C791" s="505"/>
      <c r="D791" s="505"/>
      <c r="E791" s="505"/>
      <c r="F791" s="505"/>
      <c r="G791" s="505"/>
      <c r="H791" s="505"/>
      <c r="I791" s="505"/>
      <c r="J791" s="505"/>
      <c r="K791" s="502"/>
      <c r="L791" s="428"/>
      <c r="M791" s="428"/>
      <c r="N791" s="428"/>
      <c r="O791" s="428"/>
      <c r="P791" s="428"/>
      <c r="Q791" s="428"/>
      <c r="R791" s="428"/>
      <c r="S791" s="428"/>
      <c r="T791" s="428"/>
      <c r="U791" s="428"/>
      <c r="V791" s="506"/>
      <c r="W791" s="519"/>
      <c r="X791" s="522"/>
      <c r="Y791" s="522"/>
    </row>
    <row r="792" spans="1:25" s="174" customFormat="1" ht="22.5" customHeight="1" thickTop="1" thickBot="1" x14ac:dyDescent="0.3">
      <c r="A792" s="425"/>
      <c r="B792" s="505"/>
      <c r="C792" s="505"/>
      <c r="D792" s="505"/>
      <c r="E792" s="505"/>
      <c r="F792" s="505"/>
      <c r="G792" s="505"/>
      <c r="H792" s="505"/>
      <c r="I792" s="505"/>
      <c r="J792" s="505"/>
      <c r="K792" s="502"/>
      <c r="L792" s="428"/>
      <c r="M792" s="428"/>
      <c r="N792" s="428"/>
      <c r="O792" s="428"/>
      <c r="P792" s="428"/>
      <c r="Q792" s="428"/>
      <c r="R792" s="428"/>
      <c r="S792" s="428"/>
      <c r="T792" s="428"/>
      <c r="U792" s="428"/>
      <c r="V792" s="506"/>
      <c r="W792" s="519"/>
      <c r="X792" s="522"/>
      <c r="Y792" s="522"/>
    </row>
    <row r="793" spans="1:25" s="174" customFormat="1" ht="22.5" customHeight="1" thickTop="1" thickBot="1" x14ac:dyDescent="0.3">
      <c r="A793" s="425"/>
      <c r="B793" s="505"/>
      <c r="C793" s="505"/>
      <c r="D793" s="505"/>
      <c r="E793" s="505"/>
      <c r="F793" s="505"/>
      <c r="G793" s="505"/>
      <c r="H793" s="505"/>
      <c r="I793" s="505"/>
      <c r="J793" s="505"/>
      <c r="K793" s="502"/>
      <c r="L793" s="428"/>
      <c r="M793" s="428"/>
      <c r="N793" s="428"/>
      <c r="O793" s="428"/>
      <c r="P793" s="428"/>
      <c r="Q793" s="428"/>
      <c r="R793" s="428"/>
      <c r="S793" s="428"/>
      <c r="T793" s="428"/>
      <c r="U793" s="428"/>
      <c r="V793" s="506"/>
      <c r="W793" s="519"/>
      <c r="X793" s="522"/>
      <c r="Y793" s="522"/>
    </row>
    <row r="794" spans="1:25" s="174" customFormat="1" ht="22.5" customHeight="1" thickTop="1" thickBot="1" x14ac:dyDescent="0.3">
      <c r="A794" s="425"/>
      <c r="B794" s="505"/>
      <c r="C794" s="505"/>
      <c r="D794" s="505"/>
      <c r="E794" s="505"/>
      <c r="F794" s="505"/>
      <c r="G794" s="505"/>
      <c r="H794" s="505"/>
      <c r="I794" s="505"/>
      <c r="J794" s="505"/>
      <c r="K794" s="502"/>
      <c r="L794" s="428"/>
      <c r="M794" s="428"/>
      <c r="N794" s="428"/>
      <c r="O794" s="428"/>
      <c r="P794" s="428"/>
      <c r="Q794" s="428"/>
      <c r="R794" s="428"/>
      <c r="S794" s="428"/>
      <c r="T794" s="428"/>
      <c r="U794" s="428"/>
      <c r="V794" s="506"/>
      <c r="W794" s="519"/>
      <c r="X794" s="522"/>
      <c r="Y794" s="522"/>
    </row>
    <row r="795" spans="1:25" s="174" customFormat="1" ht="22.5" customHeight="1" thickTop="1" thickBot="1" x14ac:dyDescent="0.3">
      <c r="A795" s="425"/>
      <c r="B795" s="505"/>
      <c r="C795" s="505"/>
      <c r="D795" s="505"/>
      <c r="E795" s="505"/>
      <c r="F795" s="505"/>
      <c r="G795" s="505"/>
      <c r="H795" s="505"/>
      <c r="I795" s="505"/>
      <c r="J795" s="505"/>
      <c r="K795" s="502"/>
      <c r="L795" s="428"/>
      <c r="M795" s="428"/>
      <c r="N795" s="428"/>
      <c r="O795" s="428"/>
      <c r="P795" s="428"/>
      <c r="Q795" s="428"/>
      <c r="R795" s="428"/>
      <c r="S795" s="428"/>
      <c r="T795" s="428"/>
      <c r="U795" s="428"/>
      <c r="V795" s="506"/>
      <c r="W795" s="519"/>
      <c r="X795" s="522"/>
      <c r="Y795" s="522"/>
    </row>
    <row r="796" spans="1:25" s="174" customFormat="1" ht="22.5" customHeight="1" thickTop="1" thickBot="1" x14ac:dyDescent="0.3">
      <c r="A796" s="425"/>
      <c r="B796" s="505"/>
      <c r="C796" s="505"/>
      <c r="D796" s="505"/>
      <c r="E796" s="505"/>
      <c r="F796" s="505"/>
      <c r="G796" s="505"/>
      <c r="H796" s="505"/>
      <c r="I796" s="505"/>
      <c r="J796" s="505"/>
      <c r="K796" s="502"/>
      <c r="L796" s="428"/>
      <c r="M796" s="428"/>
      <c r="N796" s="428"/>
      <c r="O796" s="428"/>
      <c r="P796" s="428"/>
      <c r="Q796" s="428"/>
      <c r="R796" s="428"/>
      <c r="S796" s="428"/>
      <c r="T796" s="428"/>
      <c r="U796" s="428"/>
      <c r="V796" s="506"/>
      <c r="W796" s="519"/>
      <c r="X796" s="522"/>
      <c r="Y796" s="522"/>
    </row>
    <row r="797" spans="1:25" s="174" customFormat="1" ht="22.5" customHeight="1" thickTop="1" thickBot="1" x14ac:dyDescent="0.3">
      <c r="A797" s="425"/>
      <c r="B797" s="505"/>
      <c r="C797" s="505"/>
      <c r="D797" s="505"/>
      <c r="E797" s="505"/>
      <c r="F797" s="505"/>
      <c r="G797" s="505"/>
      <c r="H797" s="505"/>
      <c r="I797" s="505"/>
      <c r="J797" s="505"/>
      <c r="K797" s="502"/>
      <c r="L797" s="428"/>
      <c r="M797" s="428"/>
      <c r="N797" s="428"/>
      <c r="O797" s="428"/>
      <c r="P797" s="428"/>
      <c r="Q797" s="428"/>
      <c r="R797" s="428"/>
      <c r="S797" s="428"/>
      <c r="T797" s="428"/>
      <c r="U797" s="428"/>
      <c r="V797" s="506"/>
      <c r="W797" s="519"/>
      <c r="X797" s="522"/>
      <c r="Y797" s="522"/>
    </row>
    <row r="798" spans="1:25" s="174" customFormat="1" ht="22.5" customHeight="1" thickTop="1" thickBot="1" x14ac:dyDescent="0.3">
      <c r="A798" s="425"/>
      <c r="B798" s="505"/>
      <c r="C798" s="505"/>
      <c r="D798" s="505"/>
      <c r="E798" s="505"/>
      <c r="F798" s="505"/>
      <c r="G798" s="505"/>
      <c r="H798" s="505"/>
      <c r="I798" s="505"/>
      <c r="J798" s="505"/>
      <c r="K798" s="502"/>
      <c r="L798" s="428"/>
      <c r="M798" s="428"/>
      <c r="N798" s="428"/>
      <c r="O798" s="428"/>
      <c r="P798" s="428"/>
      <c r="Q798" s="428"/>
      <c r="R798" s="428"/>
      <c r="S798" s="428"/>
      <c r="T798" s="428"/>
      <c r="U798" s="428"/>
      <c r="V798" s="506"/>
      <c r="W798" s="519"/>
      <c r="X798" s="522"/>
      <c r="Y798" s="522"/>
    </row>
    <row r="799" spans="1:25" s="174" customFormat="1" ht="22.5" customHeight="1" thickTop="1" thickBot="1" x14ac:dyDescent="0.3">
      <c r="A799" s="425"/>
      <c r="B799" s="505"/>
      <c r="C799" s="505"/>
      <c r="D799" s="505"/>
      <c r="E799" s="505"/>
      <c r="F799" s="505"/>
      <c r="G799" s="505"/>
      <c r="H799" s="519"/>
      <c r="I799" s="519"/>
      <c r="J799" s="519"/>
      <c r="K799" s="501"/>
      <c r="L799" s="428"/>
      <c r="M799" s="428"/>
      <c r="N799" s="428"/>
      <c r="O799" s="428"/>
      <c r="P799" s="428"/>
      <c r="Q799" s="428"/>
      <c r="R799" s="428"/>
      <c r="S799" s="428"/>
      <c r="T799" s="428"/>
      <c r="U799" s="428"/>
      <c r="V799" s="506"/>
      <c r="W799" s="519"/>
      <c r="X799" s="522"/>
      <c r="Y799" s="522"/>
    </row>
    <row r="800" spans="1:25" s="174" customFormat="1" ht="22.5" customHeight="1" thickTop="1" thickBot="1" x14ac:dyDescent="0.3">
      <c r="A800" s="425"/>
      <c r="B800" s="505"/>
      <c r="C800" s="505"/>
      <c r="D800" s="505"/>
      <c r="E800" s="505"/>
      <c r="F800" s="505"/>
      <c r="G800" s="505"/>
      <c r="H800" s="505"/>
      <c r="I800" s="505"/>
      <c r="J800" s="505"/>
      <c r="K800" s="502"/>
      <c r="L800" s="428"/>
      <c r="M800" s="428"/>
      <c r="N800" s="428"/>
      <c r="O800" s="428"/>
      <c r="P800" s="428"/>
      <c r="Q800" s="428"/>
      <c r="R800" s="428"/>
      <c r="S800" s="428"/>
      <c r="T800" s="428"/>
      <c r="U800" s="428"/>
      <c r="V800" s="506"/>
      <c r="W800" s="519"/>
      <c r="X800" s="522"/>
      <c r="Y800" s="522"/>
    </row>
    <row r="801" spans="1:25" s="174" customFormat="1" ht="22.5" customHeight="1" thickTop="1" thickBot="1" x14ac:dyDescent="0.3">
      <c r="A801" s="425"/>
      <c r="B801" s="505"/>
      <c r="C801" s="505"/>
      <c r="D801" s="505"/>
      <c r="E801" s="505"/>
      <c r="F801" s="505"/>
      <c r="G801" s="505"/>
      <c r="H801" s="505"/>
      <c r="I801" s="505"/>
      <c r="J801" s="505"/>
      <c r="K801" s="502"/>
      <c r="L801" s="428"/>
      <c r="M801" s="428"/>
      <c r="N801" s="428"/>
      <c r="O801" s="428"/>
      <c r="P801" s="428"/>
      <c r="Q801" s="428"/>
      <c r="R801" s="428"/>
      <c r="S801" s="428"/>
      <c r="T801" s="428"/>
      <c r="U801" s="428"/>
      <c r="V801" s="506"/>
      <c r="W801" s="519"/>
      <c r="X801" s="522"/>
      <c r="Y801" s="522"/>
    </row>
    <row r="802" spans="1:25" s="174" customFormat="1" ht="22.5" customHeight="1" thickTop="1" thickBot="1" x14ac:dyDescent="0.3">
      <c r="A802" s="425"/>
      <c r="B802" s="505"/>
      <c r="C802" s="505"/>
      <c r="D802" s="505"/>
      <c r="E802" s="505"/>
      <c r="F802" s="505"/>
      <c r="G802" s="505"/>
      <c r="H802" s="505"/>
      <c r="I802" s="505"/>
      <c r="J802" s="505"/>
      <c r="K802" s="502"/>
      <c r="L802" s="428"/>
      <c r="M802" s="428"/>
      <c r="N802" s="428"/>
      <c r="O802" s="428"/>
      <c r="P802" s="428"/>
      <c r="Q802" s="428"/>
      <c r="R802" s="428"/>
      <c r="S802" s="428"/>
      <c r="T802" s="428"/>
      <c r="U802" s="428"/>
      <c r="V802" s="506"/>
      <c r="W802" s="519"/>
      <c r="X802" s="522"/>
      <c r="Y802" s="522"/>
    </row>
    <row r="803" spans="1:25" s="174" customFormat="1" ht="22.5" customHeight="1" thickTop="1" thickBot="1" x14ac:dyDescent="0.3">
      <c r="A803" s="425"/>
      <c r="B803" s="505"/>
      <c r="C803" s="505"/>
      <c r="D803" s="505"/>
      <c r="E803" s="505"/>
      <c r="F803" s="505"/>
      <c r="G803" s="505"/>
      <c r="H803" s="505"/>
      <c r="I803" s="505"/>
      <c r="J803" s="505"/>
      <c r="K803" s="502"/>
      <c r="L803" s="428"/>
      <c r="M803" s="428"/>
      <c r="N803" s="428"/>
      <c r="O803" s="428"/>
      <c r="P803" s="428"/>
      <c r="Q803" s="428"/>
      <c r="R803" s="428"/>
      <c r="S803" s="428"/>
      <c r="T803" s="428"/>
      <c r="U803" s="428"/>
      <c r="V803" s="506"/>
      <c r="W803" s="519"/>
      <c r="X803" s="522"/>
      <c r="Y803" s="522"/>
    </row>
    <row r="804" spans="1:25" s="174" customFormat="1" ht="22.5" customHeight="1" thickTop="1" thickBot="1" x14ac:dyDescent="0.3">
      <c r="A804" s="425"/>
      <c r="B804" s="505"/>
      <c r="C804" s="505"/>
      <c r="D804" s="505"/>
      <c r="E804" s="505"/>
      <c r="F804" s="505"/>
      <c r="G804" s="505"/>
      <c r="H804" s="505"/>
      <c r="I804" s="505"/>
      <c r="J804" s="505"/>
      <c r="K804" s="502"/>
      <c r="L804" s="428"/>
      <c r="M804" s="428"/>
      <c r="N804" s="428"/>
      <c r="O804" s="428"/>
      <c r="P804" s="428"/>
      <c r="Q804" s="428"/>
      <c r="R804" s="428"/>
      <c r="S804" s="428"/>
      <c r="T804" s="428"/>
      <c r="U804" s="428"/>
      <c r="V804" s="506"/>
      <c r="W804" s="519"/>
      <c r="X804" s="522"/>
      <c r="Y804" s="522"/>
    </row>
    <row r="805" spans="1:25" s="174" customFormat="1" ht="22.5" customHeight="1" thickTop="1" thickBot="1" x14ac:dyDescent="0.3">
      <c r="A805" s="425"/>
      <c r="B805" s="505"/>
      <c r="C805" s="505"/>
      <c r="D805" s="505"/>
      <c r="E805" s="505"/>
      <c r="F805" s="505"/>
      <c r="G805" s="505"/>
      <c r="H805" s="505"/>
      <c r="I805" s="505"/>
      <c r="J805" s="505"/>
      <c r="K805" s="502"/>
      <c r="L805" s="428"/>
      <c r="M805" s="428"/>
      <c r="N805" s="428"/>
      <c r="O805" s="428"/>
      <c r="P805" s="428"/>
      <c r="Q805" s="428"/>
      <c r="R805" s="428"/>
      <c r="S805" s="428"/>
      <c r="T805" s="428"/>
      <c r="U805" s="428"/>
      <c r="V805" s="506"/>
      <c r="W805" s="519"/>
      <c r="X805" s="522"/>
      <c r="Y805" s="522"/>
    </row>
    <row r="806" spans="1:25" s="174" customFormat="1" ht="22.5" customHeight="1" thickTop="1" thickBot="1" x14ac:dyDescent="0.3">
      <c r="A806" s="425"/>
      <c r="B806" s="505"/>
      <c r="C806" s="505"/>
      <c r="D806" s="505"/>
      <c r="E806" s="505"/>
      <c r="F806" s="505"/>
      <c r="G806" s="505"/>
      <c r="H806" s="505"/>
      <c r="I806" s="505"/>
      <c r="J806" s="505"/>
      <c r="K806" s="502"/>
      <c r="L806" s="428"/>
      <c r="M806" s="428"/>
      <c r="N806" s="428"/>
      <c r="O806" s="428"/>
      <c r="P806" s="428"/>
      <c r="Q806" s="428"/>
      <c r="R806" s="428"/>
      <c r="S806" s="428"/>
      <c r="T806" s="428"/>
      <c r="U806" s="428"/>
      <c r="V806" s="506"/>
      <c r="W806" s="519"/>
      <c r="X806" s="522"/>
      <c r="Y806" s="522"/>
    </row>
    <row r="807" spans="1:25" s="174" customFormat="1" ht="22.5" customHeight="1" thickTop="1" thickBot="1" x14ac:dyDescent="0.3">
      <c r="A807" s="425"/>
      <c r="B807" s="505"/>
      <c r="C807" s="505"/>
      <c r="D807" s="505"/>
      <c r="E807" s="505"/>
      <c r="F807" s="505"/>
      <c r="G807" s="505"/>
      <c r="H807" s="505"/>
      <c r="I807" s="505"/>
      <c r="J807" s="505"/>
      <c r="K807" s="502"/>
      <c r="L807" s="428"/>
      <c r="M807" s="428"/>
      <c r="N807" s="428"/>
      <c r="O807" s="428"/>
      <c r="P807" s="428"/>
      <c r="Q807" s="428"/>
      <c r="R807" s="428"/>
      <c r="S807" s="428"/>
      <c r="T807" s="428"/>
      <c r="U807" s="428"/>
      <c r="V807" s="506"/>
      <c r="W807" s="519"/>
      <c r="X807" s="522"/>
      <c r="Y807" s="522"/>
    </row>
    <row r="808" spans="1:25" s="174" customFormat="1" ht="22.5" customHeight="1" thickTop="1" thickBot="1" x14ac:dyDescent="0.3">
      <c r="A808" s="425"/>
      <c r="B808" s="505"/>
      <c r="C808" s="505"/>
      <c r="D808" s="505"/>
      <c r="E808" s="505"/>
      <c r="F808" s="505"/>
      <c r="G808" s="505"/>
      <c r="H808" s="505"/>
      <c r="I808" s="505"/>
      <c r="J808" s="505"/>
      <c r="K808" s="502"/>
      <c r="L808" s="428"/>
      <c r="M808" s="428"/>
      <c r="N808" s="428"/>
      <c r="O808" s="428"/>
      <c r="P808" s="428"/>
      <c r="Q808" s="428"/>
      <c r="R808" s="428"/>
      <c r="S808" s="428"/>
      <c r="T808" s="428"/>
      <c r="U808" s="428"/>
      <c r="V808" s="506"/>
      <c r="W808" s="519"/>
      <c r="X808" s="522"/>
      <c r="Y808" s="522"/>
    </row>
    <row r="809" spans="1:25" s="174" customFormat="1" ht="22.5" customHeight="1" thickTop="1" thickBot="1" x14ac:dyDescent="0.3">
      <c r="A809" s="425"/>
      <c r="B809" s="505"/>
      <c r="C809" s="505"/>
      <c r="D809" s="505"/>
      <c r="E809" s="505"/>
      <c r="F809" s="505"/>
      <c r="G809" s="505"/>
      <c r="H809" s="505"/>
      <c r="I809" s="505"/>
      <c r="J809" s="505"/>
      <c r="K809" s="502"/>
      <c r="L809" s="428"/>
      <c r="M809" s="428"/>
      <c r="N809" s="428"/>
      <c r="O809" s="428"/>
      <c r="P809" s="428"/>
      <c r="Q809" s="428"/>
      <c r="R809" s="428"/>
      <c r="S809" s="428"/>
      <c r="T809" s="428"/>
      <c r="U809" s="428"/>
      <c r="V809" s="506"/>
      <c r="W809" s="519"/>
      <c r="X809" s="522"/>
      <c r="Y809" s="522"/>
    </row>
    <row r="810" spans="1:25" s="174" customFormat="1" ht="22.5" customHeight="1" thickTop="1" thickBot="1" x14ac:dyDescent="0.3">
      <c r="A810" s="425"/>
      <c r="B810" s="505"/>
      <c r="C810" s="505"/>
      <c r="D810" s="505"/>
      <c r="E810" s="505"/>
      <c r="F810" s="505"/>
      <c r="G810" s="505"/>
      <c r="H810" s="505"/>
      <c r="I810" s="505"/>
      <c r="J810" s="505"/>
      <c r="K810" s="502"/>
      <c r="L810" s="428"/>
      <c r="M810" s="428"/>
      <c r="N810" s="428"/>
      <c r="O810" s="428"/>
      <c r="P810" s="428"/>
      <c r="Q810" s="428"/>
      <c r="R810" s="428"/>
      <c r="S810" s="428"/>
      <c r="T810" s="428"/>
      <c r="U810" s="428"/>
      <c r="V810" s="506"/>
      <c r="W810" s="519"/>
      <c r="X810" s="522"/>
      <c r="Y810" s="522"/>
    </row>
    <row r="811" spans="1:25" s="174" customFormat="1" ht="22.5" customHeight="1" thickTop="1" thickBot="1" x14ac:dyDescent="0.3">
      <c r="A811" s="425"/>
      <c r="B811" s="505"/>
      <c r="C811" s="505"/>
      <c r="D811" s="505"/>
      <c r="E811" s="505"/>
      <c r="F811" s="505"/>
      <c r="G811" s="505"/>
      <c r="H811" s="519"/>
      <c r="I811" s="519"/>
      <c r="J811" s="519"/>
      <c r="K811" s="501"/>
      <c r="L811" s="428"/>
      <c r="M811" s="428"/>
      <c r="N811" s="428"/>
      <c r="O811" s="428"/>
      <c r="P811" s="428"/>
      <c r="Q811" s="428"/>
      <c r="R811" s="428"/>
      <c r="S811" s="428"/>
      <c r="T811" s="428"/>
      <c r="U811" s="428"/>
      <c r="V811" s="506"/>
      <c r="W811" s="519"/>
      <c r="X811" s="522"/>
      <c r="Y811" s="522"/>
    </row>
    <row r="812" spans="1:25" s="174" customFormat="1" ht="22.5" customHeight="1" thickTop="1" thickBot="1" x14ac:dyDescent="0.3">
      <c r="A812" s="425"/>
      <c r="B812" s="505"/>
      <c r="C812" s="505"/>
      <c r="D812" s="505"/>
      <c r="E812" s="505"/>
      <c r="F812" s="505"/>
      <c r="G812" s="505"/>
      <c r="H812" s="519"/>
      <c r="I812" s="519"/>
      <c r="J812" s="519"/>
      <c r="K812" s="501"/>
      <c r="L812" s="428"/>
      <c r="M812" s="428"/>
      <c r="N812" s="428"/>
      <c r="O812" s="428"/>
      <c r="P812" s="428"/>
      <c r="Q812" s="428"/>
      <c r="R812" s="428"/>
      <c r="S812" s="428"/>
      <c r="T812" s="428"/>
      <c r="U812" s="428"/>
      <c r="V812" s="506"/>
      <c r="W812" s="519"/>
      <c r="X812" s="522"/>
      <c r="Y812" s="522"/>
    </row>
    <row r="813" spans="1:25" s="174" customFormat="1" ht="22.5" customHeight="1" thickTop="1" thickBot="1" x14ac:dyDescent="0.3">
      <c r="A813" s="425"/>
      <c r="B813" s="505"/>
      <c r="C813" s="505"/>
      <c r="D813" s="505"/>
      <c r="E813" s="505"/>
      <c r="F813" s="505"/>
      <c r="G813" s="505"/>
      <c r="H813" s="519"/>
      <c r="I813" s="519"/>
      <c r="J813" s="519"/>
      <c r="K813" s="501"/>
      <c r="L813" s="428"/>
      <c r="M813" s="428"/>
      <c r="N813" s="428"/>
      <c r="O813" s="428"/>
      <c r="P813" s="428"/>
      <c r="Q813" s="428"/>
      <c r="R813" s="428"/>
      <c r="S813" s="428"/>
      <c r="T813" s="428"/>
      <c r="U813" s="428"/>
      <c r="V813" s="506"/>
      <c r="W813" s="424"/>
      <c r="X813" s="522"/>
      <c r="Y813" s="522"/>
    </row>
    <row r="814" spans="1:25" s="174" customFormat="1" ht="22.5" customHeight="1" thickTop="1" thickBot="1" x14ac:dyDescent="0.3">
      <c r="A814" s="425"/>
      <c r="B814" s="505"/>
      <c r="C814" s="505"/>
      <c r="D814" s="505"/>
      <c r="E814" s="505"/>
      <c r="F814" s="505"/>
      <c r="G814" s="505"/>
      <c r="H814" s="505"/>
      <c r="I814" s="505"/>
      <c r="J814" s="505"/>
      <c r="K814" s="502"/>
      <c r="L814" s="428"/>
      <c r="M814" s="428"/>
      <c r="N814" s="428"/>
      <c r="O814" s="428"/>
      <c r="P814" s="428"/>
      <c r="Q814" s="428"/>
      <c r="R814" s="428"/>
      <c r="S814" s="428"/>
      <c r="T814" s="428"/>
      <c r="U814" s="428"/>
      <c r="V814" s="506"/>
      <c r="W814" s="424"/>
      <c r="X814" s="522"/>
      <c r="Y814" s="522"/>
    </row>
    <row r="815" spans="1:25" s="174" customFormat="1" ht="22.5" customHeight="1" thickTop="1" thickBot="1" x14ac:dyDescent="0.3">
      <c r="A815" s="425"/>
      <c r="B815" s="505"/>
      <c r="C815" s="505"/>
      <c r="D815" s="505"/>
      <c r="E815" s="505"/>
      <c r="F815" s="505"/>
      <c r="G815" s="505"/>
      <c r="H815" s="505"/>
      <c r="I815" s="505"/>
      <c r="J815" s="505"/>
      <c r="K815" s="502"/>
      <c r="L815" s="428"/>
      <c r="M815" s="428"/>
      <c r="N815" s="428"/>
      <c r="O815" s="428"/>
      <c r="P815" s="428"/>
      <c r="Q815" s="428"/>
      <c r="R815" s="428"/>
      <c r="S815" s="428"/>
      <c r="T815" s="428"/>
      <c r="U815" s="428"/>
      <c r="V815" s="506"/>
      <c r="W815" s="424"/>
      <c r="X815" s="522"/>
      <c r="Y815" s="522"/>
    </row>
    <row r="816" spans="1:25" s="174" customFormat="1" ht="22.5" customHeight="1" thickTop="1" thickBot="1" x14ac:dyDescent="0.3">
      <c r="A816" s="425"/>
      <c r="B816" s="505"/>
      <c r="C816" s="505"/>
      <c r="D816" s="505"/>
      <c r="E816" s="505"/>
      <c r="F816" s="505"/>
      <c r="G816" s="505"/>
      <c r="H816" s="505"/>
      <c r="I816" s="505"/>
      <c r="J816" s="505"/>
      <c r="K816" s="502"/>
      <c r="L816" s="428"/>
      <c r="M816" s="428"/>
      <c r="N816" s="428"/>
      <c r="O816" s="428"/>
      <c r="P816" s="428"/>
      <c r="Q816" s="428"/>
      <c r="R816" s="428"/>
      <c r="S816" s="428"/>
      <c r="T816" s="428"/>
      <c r="U816" s="428"/>
      <c r="V816" s="506"/>
      <c r="W816" s="424"/>
      <c r="X816" s="522"/>
      <c r="Y816" s="522"/>
    </row>
    <row r="817" spans="1:25" s="174" customFormat="1" ht="22.5" customHeight="1" thickTop="1" thickBot="1" x14ac:dyDescent="0.3">
      <c r="A817" s="425"/>
      <c r="B817" s="505"/>
      <c r="C817" s="505"/>
      <c r="D817" s="505"/>
      <c r="E817" s="505"/>
      <c r="F817" s="505"/>
      <c r="G817" s="505"/>
      <c r="H817" s="505"/>
      <c r="I817" s="505"/>
      <c r="J817" s="505"/>
      <c r="K817" s="502"/>
      <c r="L817" s="428"/>
      <c r="M817" s="428"/>
      <c r="N817" s="428"/>
      <c r="O817" s="428"/>
      <c r="P817" s="428"/>
      <c r="Q817" s="428"/>
      <c r="R817" s="428"/>
      <c r="S817" s="428"/>
      <c r="T817" s="428"/>
      <c r="U817" s="428"/>
      <c r="V817" s="506"/>
      <c r="W817" s="424"/>
      <c r="X817" s="522"/>
      <c r="Y817" s="522"/>
    </row>
    <row r="818" spans="1:25" s="174" customFormat="1" ht="22.5" customHeight="1" thickTop="1" thickBot="1" x14ac:dyDescent="0.3">
      <c r="A818" s="425"/>
      <c r="B818" s="505"/>
      <c r="C818" s="505"/>
      <c r="D818" s="505"/>
      <c r="E818" s="505"/>
      <c r="F818" s="505"/>
      <c r="G818" s="505"/>
      <c r="H818" s="505"/>
      <c r="I818" s="505"/>
      <c r="J818" s="505"/>
      <c r="K818" s="502"/>
      <c r="L818" s="428"/>
      <c r="M818" s="428"/>
      <c r="N818" s="428"/>
      <c r="O818" s="428"/>
      <c r="P818" s="428"/>
      <c r="Q818" s="428"/>
      <c r="R818" s="428"/>
      <c r="S818" s="428"/>
      <c r="T818" s="428"/>
      <c r="U818" s="428"/>
      <c r="V818" s="506"/>
      <c r="W818" s="424"/>
      <c r="X818" s="522"/>
      <c r="Y818" s="522"/>
    </row>
    <row r="819" spans="1:25" s="174" customFormat="1" ht="22.5" customHeight="1" thickTop="1" thickBot="1" x14ac:dyDescent="0.3">
      <c r="A819" s="425"/>
      <c r="B819" s="505"/>
      <c r="C819" s="505"/>
      <c r="D819" s="505"/>
      <c r="E819" s="505"/>
      <c r="F819" s="505"/>
      <c r="G819" s="505"/>
      <c r="H819" s="505"/>
      <c r="I819" s="505"/>
      <c r="J819" s="505"/>
      <c r="K819" s="502"/>
      <c r="L819" s="428"/>
      <c r="M819" s="428"/>
      <c r="N819" s="428"/>
      <c r="O819" s="428"/>
      <c r="P819" s="428"/>
      <c r="Q819" s="428"/>
      <c r="R819" s="428"/>
      <c r="S819" s="428"/>
      <c r="T819" s="428"/>
      <c r="U819" s="428"/>
      <c r="V819" s="506"/>
      <c r="W819" s="424"/>
      <c r="X819" s="522"/>
      <c r="Y819" s="522"/>
    </row>
    <row r="820" spans="1:25" s="174" customFormat="1" ht="22.5" customHeight="1" thickTop="1" thickBot="1" x14ac:dyDescent="0.3">
      <c r="A820" s="425"/>
      <c r="B820" s="505"/>
      <c r="C820" s="505"/>
      <c r="D820" s="505"/>
      <c r="E820" s="505"/>
      <c r="F820" s="505"/>
      <c r="G820" s="505"/>
      <c r="H820" s="505"/>
      <c r="I820" s="505"/>
      <c r="J820" s="505"/>
      <c r="K820" s="502"/>
      <c r="L820" s="428"/>
      <c r="M820" s="428"/>
      <c r="N820" s="428"/>
      <c r="O820" s="428"/>
      <c r="P820" s="428"/>
      <c r="Q820" s="428"/>
      <c r="R820" s="428"/>
      <c r="S820" s="428"/>
      <c r="T820" s="428"/>
      <c r="U820" s="428"/>
      <c r="V820" s="506"/>
      <c r="W820" s="424"/>
      <c r="X820" s="522"/>
      <c r="Y820" s="522"/>
    </row>
    <row r="821" spans="1:25" s="174" customFormat="1" ht="22.5" customHeight="1" thickTop="1" thickBot="1" x14ac:dyDescent="0.3">
      <c r="A821" s="425"/>
      <c r="B821" s="505"/>
      <c r="C821" s="505"/>
      <c r="D821" s="505"/>
      <c r="E821" s="505"/>
      <c r="F821" s="505"/>
      <c r="G821" s="505"/>
      <c r="H821" s="505"/>
      <c r="I821" s="505"/>
      <c r="J821" s="505"/>
      <c r="K821" s="502"/>
      <c r="L821" s="428"/>
      <c r="M821" s="428"/>
      <c r="N821" s="428"/>
      <c r="O821" s="428"/>
      <c r="P821" s="428"/>
      <c r="Q821" s="428"/>
      <c r="R821" s="428"/>
      <c r="S821" s="428"/>
      <c r="T821" s="428"/>
      <c r="U821" s="428"/>
      <c r="V821" s="506"/>
      <c r="W821" s="424"/>
      <c r="X821" s="522"/>
      <c r="Y821" s="522"/>
    </row>
    <row r="822" spans="1:25" s="174" customFormat="1" ht="22.5" customHeight="1" thickTop="1" thickBot="1" x14ac:dyDescent="0.3">
      <c r="A822" s="425"/>
      <c r="B822" s="505"/>
      <c r="C822" s="505"/>
      <c r="D822" s="505"/>
      <c r="E822" s="505"/>
      <c r="F822" s="505"/>
      <c r="G822" s="505"/>
      <c r="H822" s="505"/>
      <c r="I822" s="505"/>
      <c r="J822" s="505"/>
      <c r="K822" s="502"/>
      <c r="L822" s="428"/>
      <c r="M822" s="428"/>
      <c r="N822" s="428"/>
      <c r="O822" s="428"/>
      <c r="P822" s="428"/>
      <c r="Q822" s="428"/>
      <c r="R822" s="428"/>
      <c r="S822" s="428"/>
      <c r="T822" s="428"/>
      <c r="U822" s="428"/>
      <c r="V822" s="506"/>
      <c r="W822" s="424"/>
      <c r="X822" s="522"/>
      <c r="Y822" s="522"/>
    </row>
    <row r="823" spans="1:25" s="174" customFormat="1" ht="22.5" customHeight="1" thickTop="1" thickBot="1" x14ac:dyDescent="0.3">
      <c r="A823" s="425"/>
      <c r="B823" s="505"/>
      <c r="C823" s="505"/>
      <c r="D823" s="505"/>
      <c r="E823" s="505"/>
      <c r="F823" s="505"/>
      <c r="G823" s="505"/>
      <c r="H823" s="505"/>
      <c r="I823" s="505"/>
      <c r="J823" s="505"/>
      <c r="K823" s="502"/>
      <c r="L823" s="428"/>
      <c r="M823" s="428"/>
      <c r="N823" s="428"/>
      <c r="O823" s="428"/>
      <c r="P823" s="428"/>
      <c r="Q823" s="428"/>
      <c r="R823" s="428"/>
      <c r="S823" s="428"/>
      <c r="T823" s="428"/>
      <c r="U823" s="428"/>
      <c r="V823" s="506"/>
      <c r="W823" s="424"/>
      <c r="X823" s="522"/>
      <c r="Y823" s="522"/>
    </row>
    <row r="824" spans="1:25" s="174" customFormat="1" ht="22.5" customHeight="1" thickTop="1" thickBot="1" x14ac:dyDescent="0.3">
      <c r="A824" s="425"/>
      <c r="B824" s="505"/>
      <c r="C824" s="505"/>
      <c r="D824" s="505"/>
      <c r="E824" s="505"/>
      <c r="F824" s="505"/>
      <c r="G824" s="505"/>
      <c r="H824" s="505"/>
      <c r="I824" s="505"/>
      <c r="J824" s="505"/>
      <c r="K824" s="502"/>
      <c r="L824" s="428"/>
      <c r="M824" s="428"/>
      <c r="N824" s="428"/>
      <c r="O824" s="428"/>
      <c r="P824" s="428"/>
      <c r="Q824" s="428"/>
      <c r="R824" s="428"/>
      <c r="S824" s="428"/>
      <c r="T824" s="428"/>
      <c r="U824" s="428"/>
      <c r="V824" s="506"/>
      <c r="W824" s="424"/>
      <c r="X824" s="522"/>
      <c r="Y824" s="522"/>
    </row>
    <row r="825" spans="1:25" s="174" customFormat="1" ht="22.5" customHeight="1" thickTop="1" thickBot="1" x14ac:dyDescent="0.3">
      <c r="A825" s="425"/>
      <c r="B825" s="505"/>
      <c r="C825" s="505"/>
      <c r="D825" s="505"/>
      <c r="E825" s="505"/>
      <c r="F825" s="505"/>
      <c r="G825" s="505"/>
      <c r="H825" s="519"/>
      <c r="I825" s="519"/>
      <c r="J825" s="519"/>
      <c r="K825" s="501"/>
      <c r="L825" s="428"/>
      <c r="M825" s="428"/>
      <c r="N825" s="428"/>
      <c r="O825" s="428"/>
      <c r="P825" s="428"/>
      <c r="Q825" s="428"/>
      <c r="R825" s="428"/>
      <c r="S825" s="428"/>
      <c r="T825" s="428"/>
      <c r="U825" s="428"/>
      <c r="V825" s="506"/>
      <c r="W825" s="519"/>
      <c r="X825" s="522"/>
      <c r="Y825" s="522"/>
    </row>
    <row r="826" spans="1:25" ht="22.5" customHeight="1" thickTop="1" thickBot="1" x14ac:dyDescent="0.3">
      <c r="A826" s="425"/>
      <c r="B826" s="505"/>
      <c r="C826" s="505"/>
      <c r="D826" s="505"/>
      <c r="E826" s="505"/>
      <c r="F826" s="505"/>
      <c r="G826" s="505"/>
      <c r="H826" s="505"/>
      <c r="I826" s="505"/>
      <c r="J826" s="505"/>
      <c r="K826" s="502"/>
      <c r="L826" s="429"/>
      <c r="M826" s="429"/>
      <c r="N826" s="429"/>
      <c r="O826" s="429"/>
      <c r="P826" s="429"/>
      <c r="Q826" s="429"/>
      <c r="R826" s="429"/>
      <c r="S826" s="429"/>
      <c r="T826" s="429"/>
      <c r="U826" s="429"/>
      <c r="V826" s="507"/>
      <c r="W826" s="505"/>
      <c r="X826" s="522"/>
      <c r="Y826" s="522"/>
    </row>
    <row r="827" spans="1:25" ht="22.5" customHeight="1" thickTop="1" thickBot="1" x14ac:dyDescent="0.3">
      <c r="A827" s="425"/>
      <c r="B827" s="505"/>
      <c r="C827" s="505"/>
      <c r="D827" s="505"/>
      <c r="E827" s="505"/>
      <c r="F827" s="505"/>
      <c r="G827" s="505"/>
      <c r="H827" s="505"/>
      <c r="I827" s="505"/>
      <c r="J827" s="505"/>
      <c r="K827" s="502"/>
      <c r="L827" s="429"/>
      <c r="M827" s="429"/>
      <c r="N827" s="429"/>
      <c r="O827" s="429"/>
      <c r="P827" s="429"/>
      <c r="Q827" s="429"/>
      <c r="R827" s="429"/>
      <c r="S827" s="429"/>
      <c r="T827" s="429"/>
      <c r="U827" s="429"/>
      <c r="V827" s="507"/>
      <c r="W827" s="505"/>
      <c r="X827" s="522"/>
      <c r="Y827" s="522"/>
    </row>
    <row r="828" spans="1:25" ht="22.5" customHeight="1" thickTop="1" thickBot="1" x14ac:dyDescent="0.3">
      <c r="A828" s="425"/>
      <c r="B828" s="505"/>
      <c r="C828" s="505"/>
      <c r="D828" s="505"/>
      <c r="E828" s="505"/>
      <c r="F828" s="505"/>
      <c r="G828" s="505"/>
      <c r="H828" s="505"/>
      <c r="I828" s="505"/>
      <c r="J828" s="505"/>
      <c r="K828" s="502"/>
      <c r="L828" s="429"/>
      <c r="M828" s="429"/>
      <c r="N828" s="429"/>
      <c r="O828" s="429"/>
      <c r="P828" s="429"/>
      <c r="Q828" s="429"/>
      <c r="R828" s="429"/>
      <c r="S828" s="429"/>
      <c r="T828" s="429"/>
      <c r="U828" s="429"/>
      <c r="V828" s="507"/>
      <c r="W828" s="505"/>
      <c r="X828" s="522"/>
      <c r="Y828" s="522"/>
    </row>
    <row r="829" spans="1:25" ht="22.5" customHeight="1" thickTop="1" thickBot="1" x14ac:dyDescent="0.3">
      <c r="A829" s="425"/>
      <c r="B829" s="505"/>
      <c r="C829" s="505"/>
      <c r="D829" s="505"/>
      <c r="E829" s="505"/>
      <c r="F829" s="505"/>
      <c r="G829" s="505"/>
      <c r="H829" s="505"/>
      <c r="I829" s="505"/>
      <c r="J829" s="505"/>
      <c r="K829" s="502"/>
      <c r="L829" s="429"/>
      <c r="M829" s="429"/>
      <c r="N829" s="429"/>
      <c r="O829" s="429"/>
      <c r="P829" s="429"/>
      <c r="Q829" s="429"/>
      <c r="R829" s="429"/>
      <c r="S829" s="429"/>
      <c r="T829" s="429"/>
      <c r="U829" s="429"/>
      <c r="V829" s="507"/>
      <c r="W829" s="505"/>
      <c r="X829" s="522"/>
      <c r="Y829" s="522"/>
    </row>
    <row r="830" spans="1:25" ht="22.5" customHeight="1" thickTop="1" thickBot="1" x14ac:dyDescent="0.3">
      <c r="A830" s="425"/>
      <c r="B830" s="505"/>
      <c r="C830" s="505"/>
      <c r="D830" s="505"/>
      <c r="E830" s="505"/>
      <c r="F830" s="505"/>
      <c r="G830" s="505"/>
      <c r="H830" s="505"/>
      <c r="I830" s="505"/>
      <c r="J830" s="505"/>
      <c r="K830" s="502"/>
      <c r="L830" s="429"/>
      <c r="M830" s="429"/>
      <c r="N830" s="429"/>
      <c r="O830" s="429"/>
      <c r="P830" s="429"/>
      <c r="Q830" s="429"/>
      <c r="R830" s="429"/>
      <c r="S830" s="429"/>
      <c r="T830" s="429"/>
      <c r="U830" s="429"/>
      <c r="V830" s="507"/>
      <c r="W830" s="505"/>
      <c r="X830" s="522"/>
      <c r="Y830" s="522"/>
    </row>
    <row r="831" spans="1:25" ht="22.5" customHeight="1" thickTop="1" thickBot="1" x14ac:dyDescent="0.3">
      <c r="A831" s="425"/>
      <c r="B831" s="505"/>
      <c r="C831" s="505"/>
      <c r="D831" s="505"/>
      <c r="E831" s="505"/>
      <c r="F831" s="505"/>
      <c r="G831" s="505"/>
      <c r="H831" s="505"/>
      <c r="I831" s="505"/>
      <c r="J831" s="505"/>
      <c r="K831" s="502"/>
      <c r="L831" s="429"/>
      <c r="M831" s="429"/>
      <c r="N831" s="429"/>
      <c r="O831" s="429"/>
      <c r="P831" s="429"/>
      <c r="Q831" s="429"/>
      <c r="R831" s="429"/>
      <c r="S831" s="429"/>
      <c r="T831" s="429"/>
      <c r="U831" s="429"/>
      <c r="V831" s="507"/>
      <c r="W831" s="505"/>
      <c r="X831" s="522"/>
      <c r="Y831" s="522"/>
    </row>
    <row r="832" spans="1:25" ht="22.5" customHeight="1" thickTop="1" thickBot="1" x14ac:dyDescent="0.3">
      <c r="A832" s="425"/>
      <c r="B832" s="505"/>
      <c r="C832" s="505"/>
      <c r="D832" s="505"/>
      <c r="E832" s="505"/>
      <c r="F832" s="505"/>
      <c r="G832" s="505"/>
      <c r="H832" s="505"/>
      <c r="I832" s="505"/>
      <c r="J832" s="505"/>
      <c r="K832" s="502"/>
      <c r="L832" s="429"/>
      <c r="M832" s="429"/>
      <c r="N832" s="429"/>
      <c r="O832" s="429"/>
      <c r="P832" s="429"/>
      <c r="Q832" s="429"/>
      <c r="R832" s="429"/>
      <c r="S832" s="429"/>
      <c r="T832" s="429"/>
      <c r="U832" s="429"/>
      <c r="V832" s="507"/>
      <c r="W832" s="505"/>
      <c r="X832" s="522"/>
      <c r="Y832" s="522"/>
    </row>
    <row r="833" spans="1:25" ht="22.5" customHeight="1" thickTop="1" thickBot="1" x14ac:dyDescent="0.3">
      <c r="A833" s="425"/>
      <c r="B833" s="505"/>
      <c r="C833" s="505"/>
      <c r="D833" s="505"/>
      <c r="E833" s="505"/>
      <c r="F833" s="505"/>
      <c r="G833" s="505"/>
      <c r="H833" s="505"/>
      <c r="I833" s="505"/>
      <c r="J833" s="505"/>
      <c r="K833" s="502"/>
      <c r="L833" s="429"/>
      <c r="M833" s="429"/>
      <c r="N833" s="429"/>
      <c r="O833" s="429"/>
      <c r="P833" s="429"/>
      <c r="Q833" s="429"/>
      <c r="R833" s="429"/>
      <c r="S833" s="429"/>
      <c r="T833" s="429"/>
      <c r="U833" s="429"/>
      <c r="V833" s="507"/>
      <c r="W833" s="505"/>
      <c r="X833" s="522"/>
      <c r="Y833" s="522"/>
    </row>
    <row r="834" spans="1:25" ht="22.5" customHeight="1" thickTop="1" thickBot="1" x14ac:dyDescent="0.3">
      <c r="A834" s="425"/>
      <c r="B834" s="505"/>
      <c r="C834" s="505"/>
      <c r="D834" s="505"/>
      <c r="E834" s="505"/>
      <c r="F834" s="505"/>
      <c r="G834" s="505"/>
      <c r="H834" s="505"/>
      <c r="I834" s="505"/>
      <c r="J834" s="505"/>
      <c r="K834" s="502"/>
      <c r="L834" s="429"/>
      <c r="M834" s="429"/>
      <c r="N834" s="429"/>
      <c r="O834" s="429"/>
      <c r="P834" s="429"/>
      <c r="Q834" s="429"/>
      <c r="R834" s="429"/>
      <c r="S834" s="429"/>
      <c r="T834" s="429"/>
      <c r="U834" s="429"/>
      <c r="V834" s="507"/>
      <c r="W834" s="505"/>
      <c r="X834" s="522"/>
      <c r="Y834" s="522"/>
    </row>
    <row r="835" spans="1:25" ht="22.5" customHeight="1" thickTop="1" thickBot="1" x14ac:dyDescent="0.3">
      <c r="A835" s="425"/>
      <c r="B835" s="505"/>
      <c r="C835" s="505"/>
      <c r="D835" s="505"/>
      <c r="E835" s="505"/>
      <c r="F835" s="505"/>
      <c r="G835" s="505"/>
      <c r="H835" s="505"/>
      <c r="I835" s="505"/>
      <c r="J835" s="505"/>
      <c r="K835" s="502"/>
      <c r="L835" s="429"/>
      <c r="M835" s="429"/>
      <c r="N835" s="429"/>
      <c r="O835" s="429"/>
      <c r="P835" s="429"/>
      <c r="Q835" s="429"/>
      <c r="R835" s="429"/>
      <c r="S835" s="429"/>
      <c r="T835" s="429"/>
      <c r="U835" s="429"/>
      <c r="V835" s="507"/>
      <c r="W835" s="505"/>
      <c r="X835" s="522"/>
      <c r="Y835" s="522"/>
    </row>
    <row r="836" spans="1:25" ht="22.5" customHeight="1" thickTop="1" thickBot="1" x14ac:dyDescent="0.3">
      <c r="A836" s="425"/>
      <c r="B836" s="505"/>
      <c r="C836" s="505"/>
      <c r="D836" s="505"/>
      <c r="E836" s="505"/>
      <c r="F836" s="505"/>
      <c r="G836" s="505"/>
      <c r="H836" s="505"/>
      <c r="I836" s="505"/>
      <c r="J836" s="505"/>
      <c r="K836" s="502"/>
      <c r="L836" s="429"/>
      <c r="M836" s="429"/>
      <c r="N836" s="429"/>
      <c r="O836" s="429"/>
      <c r="P836" s="429"/>
      <c r="Q836" s="429"/>
      <c r="R836" s="429"/>
      <c r="S836" s="429"/>
      <c r="T836" s="429"/>
      <c r="U836" s="429"/>
      <c r="V836" s="507"/>
      <c r="W836" s="505"/>
      <c r="X836" s="522"/>
      <c r="Y836" s="522"/>
    </row>
    <row r="837" spans="1:25" s="174" customFormat="1" ht="22.5" customHeight="1" thickTop="1" thickBot="1" x14ac:dyDescent="0.3">
      <c r="A837" s="425"/>
      <c r="B837" s="505"/>
      <c r="C837" s="505"/>
      <c r="D837" s="505"/>
      <c r="E837" s="505"/>
      <c r="F837" s="505"/>
      <c r="G837" s="505"/>
      <c r="H837" s="519"/>
      <c r="I837" s="519"/>
      <c r="J837" s="519"/>
      <c r="K837" s="501"/>
      <c r="L837" s="428"/>
      <c r="M837" s="428"/>
      <c r="N837" s="428"/>
      <c r="O837" s="428"/>
      <c r="P837" s="428"/>
      <c r="Q837" s="428"/>
      <c r="R837" s="428"/>
      <c r="S837" s="428"/>
      <c r="T837" s="428"/>
      <c r="U837" s="428"/>
      <c r="V837" s="506"/>
      <c r="W837" s="424"/>
      <c r="X837" s="522"/>
      <c r="Y837" s="522"/>
    </row>
    <row r="838" spans="1:25" ht="22.5" customHeight="1" thickTop="1" thickBot="1" x14ac:dyDescent="0.3">
      <c r="A838" s="425"/>
      <c r="B838" s="505"/>
      <c r="C838" s="505"/>
      <c r="D838" s="505"/>
      <c r="E838" s="505"/>
      <c r="F838" s="505"/>
      <c r="G838" s="505"/>
      <c r="H838" s="505"/>
      <c r="I838" s="505"/>
      <c r="J838" s="505"/>
      <c r="K838" s="502"/>
      <c r="L838" s="429"/>
      <c r="M838" s="429"/>
      <c r="N838" s="429"/>
      <c r="O838" s="429"/>
      <c r="P838" s="429"/>
      <c r="Q838" s="429"/>
      <c r="R838" s="429"/>
      <c r="S838" s="429"/>
      <c r="T838" s="429"/>
      <c r="U838" s="429"/>
      <c r="V838" s="507"/>
      <c r="W838" s="425"/>
      <c r="X838" s="522"/>
      <c r="Y838" s="522"/>
    </row>
    <row r="839" spans="1:25" ht="22.5" customHeight="1" thickTop="1" thickBot="1" x14ac:dyDescent="0.3">
      <c r="A839" s="425"/>
      <c r="B839" s="505"/>
      <c r="C839" s="505"/>
      <c r="D839" s="505"/>
      <c r="E839" s="505"/>
      <c r="F839" s="505"/>
      <c r="G839" s="505"/>
      <c r="H839" s="505"/>
      <c r="I839" s="505"/>
      <c r="J839" s="505"/>
      <c r="K839" s="502"/>
      <c r="L839" s="429"/>
      <c r="M839" s="429"/>
      <c r="N839" s="429"/>
      <c r="O839" s="429"/>
      <c r="P839" s="429"/>
      <c r="Q839" s="429"/>
      <c r="R839" s="429"/>
      <c r="S839" s="429"/>
      <c r="T839" s="429"/>
      <c r="U839" s="429"/>
      <c r="V839" s="507"/>
      <c r="W839" s="425"/>
      <c r="X839" s="522"/>
      <c r="Y839" s="522"/>
    </row>
    <row r="840" spans="1:25" ht="22.5" customHeight="1" thickTop="1" thickBot="1" x14ac:dyDescent="0.3">
      <c r="A840" s="425"/>
      <c r="B840" s="505"/>
      <c r="C840" s="505"/>
      <c r="D840" s="505"/>
      <c r="E840" s="505"/>
      <c r="F840" s="505"/>
      <c r="G840" s="505"/>
      <c r="H840" s="505"/>
      <c r="I840" s="505"/>
      <c r="J840" s="505"/>
      <c r="K840" s="502"/>
      <c r="L840" s="429"/>
      <c r="M840" s="429"/>
      <c r="N840" s="429"/>
      <c r="O840" s="429"/>
      <c r="P840" s="429"/>
      <c r="Q840" s="429"/>
      <c r="R840" s="429"/>
      <c r="S840" s="429"/>
      <c r="T840" s="429"/>
      <c r="U840" s="429"/>
      <c r="V840" s="507"/>
      <c r="W840" s="425"/>
      <c r="X840" s="522"/>
      <c r="Y840" s="522"/>
    </row>
    <row r="841" spans="1:25" ht="22.5" customHeight="1" thickTop="1" thickBot="1" x14ac:dyDescent="0.3">
      <c r="A841" s="425"/>
      <c r="B841" s="505"/>
      <c r="C841" s="505"/>
      <c r="D841" s="505"/>
      <c r="E841" s="505"/>
      <c r="F841" s="505"/>
      <c r="G841" s="505"/>
      <c r="H841" s="505"/>
      <c r="I841" s="505"/>
      <c r="J841" s="505"/>
      <c r="K841" s="502"/>
      <c r="L841" s="429"/>
      <c r="M841" s="429"/>
      <c r="N841" s="429"/>
      <c r="O841" s="429"/>
      <c r="P841" s="429"/>
      <c r="Q841" s="429"/>
      <c r="R841" s="429"/>
      <c r="S841" s="429"/>
      <c r="T841" s="429"/>
      <c r="U841" s="429"/>
      <c r="V841" s="507"/>
      <c r="W841" s="425"/>
      <c r="X841" s="522"/>
      <c r="Y841" s="522"/>
    </row>
    <row r="842" spans="1:25" ht="22.5" customHeight="1" thickTop="1" thickBot="1" x14ac:dyDescent="0.3">
      <c r="A842" s="425"/>
      <c r="B842" s="505"/>
      <c r="C842" s="505"/>
      <c r="D842" s="505"/>
      <c r="E842" s="505"/>
      <c r="F842" s="505"/>
      <c r="G842" s="505"/>
      <c r="H842" s="505"/>
      <c r="I842" s="505"/>
      <c r="J842" s="505"/>
      <c r="K842" s="502"/>
      <c r="L842" s="429"/>
      <c r="M842" s="429"/>
      <c r="N842" s="429"/>
      <c r="O842" s="429"/>
      <c r="P842" s="429"/>
      <c r="Q842" s="429"/>
      <c r="R842" s="429"/>
      <c r="S842" s="429"/>
      <c r="T842" s="429"/>
      <c r="U842" s="429"/>
      <c r="V842" s="507"/>
      <c r="W842" s="425"/>
      <c r="X842" s="522"/>
      <c r="Y842" s="522"/>
    </row>
    <row r="843" spans="1:25" ht="22.5" customHeight="1" thickTop="1" thickBot="1" x14ac:dyDescent="0.3">
      <c r="A843" s="425"/>
      <c r="B843" s="505"/>
      <c r="C843" s="505"/>
      <c r="D843" s="505"/>
      <c r="E843" s="505"/>
      <c r="F843" s="505"/>
      <c r="G843" s="505"/>
      <c r="H843" s="505"/>
      <c r="I843" s="505"/>
      <c r="J843" s="505"/>
      <c r="K843" s="502"/>
      <c r="L843" s="429"/>
      <c r="M843" s="429"/>
      <c r="N843" s="429"/>
      <c r="O843" s="429"/>
      <c r="P843" s="429"/>
      <c r="Q843" s="429"/>
      <c r="R843" s="429"/>
      <c r="S843" s="429"/>
      <c r="T843" s="429"/>
      <c r="U843" s="429"/>
      <c r="V843" s="507"/>
      <c r="W843" s="425"/>
      <c r="X843" s="522"/>
      <c r="Y843" s="522"/>
    </row>
    <row r="844" spans="1:25" ht="22.5" customHeight="1" thickTop="1" thickBot="1" x14ac:dyDescent="0.3">
      <c r="A844" s="425"/>
      <c r="B844" s="505"/>
      <c r="C844" s="505"/>
      <c r="D844" s="505"/>
      <c r="E844" s="505"/>
      <c r="F844" s="505"/>
      <c r="G844" s="505"/>
      <c r="H844" s="505"/>
      <c r="I844" s="505"/>
      <c r="J844" s="505"/>
      <c r="K844" s="502"/>
      <c r="L844" s="429"/>
      <c r="M844" s="429"/>
      <c r="N844" s="429"/>
      <c r="O844" s="429"/>
      <c r="P844" s="429"/>
      <c r="Q844" s="429"/>
      <c r="R844" s="429"/>
      <c r="S844" s="429"/>
      <c r="T844" s="429"/>
      <c r="U844" s="429"/>
      <c r="V844" s="507"/>
      <c r="W844" s="425"/>
      <c r="X844" s="522"/>
      <c r="Y844" s="522"/>
    </row>
    <row r="845" spans="1:25" ht="22.5" customHeight="1" thickTop="1" thickBot="1" x14ac:dyDescent="0.3">
      <c r="A845" s="425"/>
      <c r="B845" s="505"/>
      <c r="C845" s="505"/>
      <c r="D845" s="505"/>
      <c r="E845" s="505"/>
      <c r="F845" s="505"/>
      <c r="G845" s="505"/>
      <c r="H845" s="505"/>
      <c r="I845" s="505"/>
      <c r="J845" s="505"/>
      <c r="K845" s="502"/>
      <c r="L845" s="429"/>
      <c r="M845" s="429"/>
      <c r="N845" s="429"/>
      <c r="O845" s="429"/>
      <c r="P845" s="429"/>
      <c r="Q845" s="429"/>
      <c r="R845" s="429"/>
      <c r="S845" s="429"/>
      <c r="T845" s="429"/>
      <c r="U845" s="429"/>
      <c r="V845" s="507"/>
      <c r="W845" s="425"/>
      <c r="X845" s="522"/>
      <c r="Y845" s="522"/>
    </row>
    <row r="846" spans="1:25" ht="22.5" customHeight="1" thickTop="1" thickBot="1" x14ac:dyDescent="0.3">
      <c r="A846" s="425"/>
      <c r="B846" s="505"/>
      <c r="C846" s="505"/>
      <c r="D846" s="505"/>
      <c r="E846" s="505"/>
      <c r="F846" s="505"/>
      <c r="G846" s="505"/>
      <c r="H846" s="505"/>
      <c r="I846" s="505"/>
      <c r="J846" s="505"/>
      <c r="K846" s="502"/>
      <c r="L846" s="429"/>
      <c r="M846" s="429"/>
      <c r="N846" s="429"/>
      <c r="O846" s="429"/>
      <c r="P846" s="429"/>
      <c r="Q846" s="429"/>
      <c r="R846" s="429"/>
      <c r="S846" s="429"/>
      <c r="T846" s="429"/>
      <c r="U846" s="429"/>
      <c r="V846" s="507"/>
      <c r="W846" s="425"/>
      <c r="X846" s="522"/>
      <c r="Y846" s="522"/>
    </row>
    <row r="847" spans="1:25" ht="22.5" customHeight="1" thickTop="1" thickBot="1" x14ac:dyDescent="0.3">
      <c r="A847" s="425"/>
      <c r="B847" s="505"/>
      <c r="C847" s="505"/>
      <c r="D847" s="505"/>
      <c r="E847" s="505"/>
      <c r="F847" s="505"/>
      <c r="G847" s="505"/>
      <c r="H847" s="505"/>
      <c r="I847" s="505"/>
      <c r="J847" s="505"/>
      <c r="K847" s="502"/>
      <c r="L847" s="429"/>
      <c r="M847" s="429"/>
      <c r="N847" s="429"/>
      <c r="O847" s="429"/>
      <c r="P847" s="429"/>
      <c r="Q847" s="429"/>
      <c r="R847" s="429"/>
      <c r="S847" s="429"/>
      <c r="T847" s="429"/>
      <c r="U847" s="429"/>
      <c r="V847" s="507"/>
      <c r="W847" s="425"/>
      <c r="X847" s="522"/>
      <c r="Y847" s="522"/>
    </row>
    <row r="848" spans="1:25" ht="22.5" customHeight="1" thickTop="1" thickBot="1" x14ac:dyDescent="0.3">
      <c r="A848" s="425"/>
      <c r="B848" s="505"/>
      <c r="C848" s="505"/>
      <c r="D848" s="505"/>
      <c r="E848" s="505"/>
      <c r="F848" s="505"/>
      <c r="G848" s="505"/>
      <c r="H848" s="505"/>
      <c r="I848" s="505"/>
      <c r="J848" s="505"/>
      <c r="K848" s="502"/>
      <c r="L848" s="429"/>
      <c r="M848" s="429"/>
      <c r="N848" s="429"/>
      <c r="O848" s="429"/>
      <c r="P848" s="429"/>
      <c r="Q848" s="429"/>
      <c r="R848" s="429"/>
      <c r="S848" s="429"/>
      <c r="T848" s="429"/>
      <c r="U848" s="429"/>
      <c r="V848" s="507"/>
      <c r="W848" s="425"/>
      <c r="X848" s="522"/>
      <c r="Y848" s="522"/>
    </row>
    <row r="849" spans="1:25" s="174" customFormat="1" ht="22.5" customHeight="1" thickTop="1" thickBot="1" x14ac:dyDescent="0.3">
      <c r="A849" s="425"/>
      <c r="B849" s="505"/>
      <c r="C849" s="505"/>
      <c r="D849" s="505"/>
      <c r="E849" s="505"/>
      <c r="F849" s="505"/>
      <c r="G849" s="505"/>
      <c r="H849" s="505"/>
      <c r="I849" s="505"/>
      <c r="J849" s="505"/>
      <c r="K849" s="502"/>
      <c r="L849" s="428"/>
      <c r="M849" s="428"/>
      <c r="N849" s="428"/>
      <c r="O849" s="428"/>
      <c r="P849" s="428"/>
      <c r="Q849" s="428"/>
      <c r="R849" s="428"/>
      <c r="S849" s="428"/>
      <c r="T849" s="428"/>
      <c r="U849" s="428"/>
      <c r="V849" s="506"/>
      <c r="W849" s="424"/>
      <c r="X849" s="522"/>
      <c r="Y849" s="522"/>
    </row>
    <row r="850" spans="1:25" s="174" customFormat="1" ht="22.5" customHeight="1" thickTop="1" thickBot="1" x14ac:dyDescent="0.3">
      <c r="A850" s="425"/>
      <c r="B850" s="505"/>
      <c r="C850" s="505"/>
      <c r="D850" s="505"/>
      <c r="E850" s="505"/>
      <c r="F850" s="505"/>
      <c r="G850" s="505"/>
      <c r="H850" s="505"/>
      <c r="I850" s="505"/>
      <c r="J850" s="505"/>
      <c r="K850" s="502"/>
      <c r="L850" s="428"/>
      <c r="M850" s="428"/>
      <c r="N850" s="428"/>
      <c r="O850" s="428"/>
      <c r="P850" s="428"/>
      <c r="Q850" s="428"/>
      <c r="R850" s="428"/>
      <c r="S850" s="428"/>
      <c r="T850" s="428"/>
      <c r="U850" s="428"/>
      <c r="V850" s="506"/>
      <c r="W850" s="424"/>
      <c r="X850" s="522"/>
      <c r="Y850" s="522"/>
    </row>
    <row r="851" spans="1:25" s="174" customFormat="1" ht="22.5" customHeight="1" thickTop="1" thickBot="1" x14ac:dyDescent="0.3">
      <c r="A851" s="425"/>
      <c r="B851" s="505"/>
      <c r="C851" s="505"/>
      <c r="D851" s="505"/>
      <c r="E851" s="505"/>
      <c r="F851" s="505"/>
      <c r="G851" s="505"/>
      <c r="H851" s="505"/>
      <c r="I851" s="505"/>
      <c r="J851" s="505"/>
      <c r="K851" s="502"/>
      <c r="L851" s="428"/>
      <c r="M851" s="428"/>
      <c r="N851" s="428"/>
      <c r="O851" s="428"/>
      <c r="P851" s="428"/>
      <c r="Q851" s="428"/>
      <c r="R851" s="428"/>
      <c r="S851" s="428"/>
      <c r="T851" s="428"/>
      <c r="U851" s="428"/>
      <c r="V851" s="506"/>
      <c r="W851" s="424"/>
      <c r="X851" s="522"/>
      <c r="Y851" s="522"/>
    </row>
    <row r="852" spans="1:25" s="174" customFormat="1" ht="22.5" customHeight="1" thickTop="1" thickBot="1" x14ac:dyDescent="0.3">
      <c r="A852" s="425"/>
      <c r="B852" s="505"/>
      <c r="C852" s="505"/>
      <c r="D852" s="505"/>
      <c r="E852" s="505"/>
      <c r="F852" s="505"/>
      <c r="G852" s="505"/>
      <c r="H852" s="505"/>
      <c r="I852" s="505"/>
      <c r="J852" s="505"/>
      <c r="K852" s="502"/>
      <c r="L852" s="428"/>
      <c r="M852" s="428"/>
      <c r="N852" s="428"/>
      <c r="O852" s="428"/>
      <c r="P852" s="428"/>
      <c r="Q852" s="428"/>
      <c r="R852" s="428"/>
      <c r="S852" s="428"/>
      <c r="T852" s="428"/>
      <c r="U852" s="428"/>
      <c r="V852" s="506"/>
      <c r="W852" s="424"/>
      <c r="X852" s="522"/>
      <c r="Y852" s="522"/>
    </row>
    <row r="853" spans="1:25" s="174" customFormat="1" ht="22.5" customHeight="1" thickTop="1" thickBot="1" x14ac:dyDescent="0.3">
      <c r="A853" s="425"/>
      <c r="B853" s="505"/>
      <c r="C853" s="505"/>
      <c r="D853" s="505"/>
      <c r="E853" s="505"/>
      <c r="F853" s="505"/>
      <c r="G853" s="505"/>
      <c r="H853" s="505"/>
      <c r="I853" s="505"/>
      <c r="J853" s="505"/>
      <c r="K853" s="502"/>
      <c r="L853" s="428"/>
      <c r="M853" s="428"/>
      <c r="N853" s="428"/>
      <c r="O853" s="428"/>
      <c r="P853" s="428"/>
      <c r="Q853" s="428"/>
      <c r="R853" s="428"/>
      <c r="S853" s="428"/>
      <c r="T853" s="428"/>
      <c r="U853" s="428"/>
      <c r="V853" s="506"/>
      <c r="W853" s="424"/>
      <c r="X853" s="522"/>
      <c r="Y853" s="522"/>
    </row>
    <row r="854" spans="1:25" s="174" customFormat="1" ht="22.5" customHeight="1" thickTop="1" thickBot="1" x14ac:dyDescent="0.3">
      <c r="A854" s="425"/>
      <c r="B854" s="505"/>
      <c r="C854" s="505"/>
      <c r="D854" s="505"/>
      <c r="E854" s="505"/>
      <c r="F854" s="505"/>
      <c r="G854" s="505"/>
      <c r="H854" s="505"/>
      <c r="I854" s="505"/>
      <c r="J854" s="505"/>
      <c r="K854" s="502"/>
      <c r="L854" s="428"/>
      <c r="M854" s="428"/>
      <c r="N854" s="428"/>
      <c r="O854" s="428"/>
      <c r="P854" s="428"/>
      <c r="Q854" s="428"/>
      <c r="R854" s="428"/>
      <c r="S854" s="428"/>
      <c r="T854" s="428"/>
      <c r="U854" s="428"/>
      <c r="V854" s="506"/>
      <c r="W854" s="424"/>
      <c r="X854" s="522"/>
      <c r="Y854" s="522"/>
    </row>
    <row r="855" spans="1:25" s="174" customFormat="1" ht="22.5" customHeight="1" thickTop="1" thickBot="1" x14ac:dyDescent="0.3">
      <c r="A855" s="425"/>
      <c r="B855" s="505"/>
      <c r="C855" s="505"/>
      <c r="D855" s="505"/>
      <c r="E855" s="505"/>
      <c r="F855" s="505"/>
      <c r="G855" s="505"/>
      <c r="H855" s="505"/>
      <c r="I855" s="505"/>
      <c r="J855" s="505"/>
      <c r="K855" s="502"/>
      <c r="L855" s="428"/>
      <c r="M855" s="428"/>
      <c r="N855" s="428"/>
      <c r="O855" s="428"/>
      <c r="P855" s="428"/>
      <c r="Q855" s="428"/>
      <c r="R855" s="428"/>
      <c r="S855" s="428"/>
      <c r="T855" s="428"/>
      <c r="U855" s="428"/>
      <c r="V855" s="506"/>
      <c r="W855" s="424"/>
      <c r="X855" s="522"/>
      <c r="Y855" s="522"/>
    </row>
    <row r="856" spans="1:25" s="174" customFormat="1" ht="22.5" customHeight="1" thickTop="1" thickBot="1" x14ac:dyDescent="0.3">
      <c r="A856" s="425"/>
      <c r="B856" s="505"/>
      <c r="C856" s="505"/>
      <c r="D856" s="505"/>
      <c r="E856" s="505"/>
      <c r="F856" s="505"/>
      <c r="G856" s="505"/>
      <c r="H856" s="505"/>
      <c r="I856" s="505"/>
      <c r="J856" s="505"/>
      <c r="K856" s="502"/>
      <c r="L856" s="428"/>
      <c r="M856" s="428"/>
      <c r="N856" s="428"/>
      <c r="O856" s="428"/>
      <c r="P856" s="428"/>
      <c r="Q856" s="428"/>
      <c r="R856" s="428"/>
      <c r="S856" s="428"/>
      <c r="T856" s="428"/>
      <c r="U856" s="428"/>
      <c r="V856" s="506"/>
      <c r="W856" s="424"/>
      <c r="X856" s="522"/>
      <c r="Y856" s="522"/>
    </row>
    <row r="857" spans="1:25" s="174" customFormat="1" ht="22.5" customHeight="1" thickTop="1" thickBot="1" x14ac:dyDescent="0.3">
      <c r="A857" s="425"/>
      <c r="B857" s="505"/>
      <c r="C857" s="505"/>
      <c r="D857" s="505"/>
      <c r="E857" s="505"/>
      <c r="F857" s="505"/>
      <c r="G857" s="505"/>
      <c r="H857" s="505"/>
      <c r="I857" s="505"/>
      <c r="J857" s="505"/>
      <c r="K857" s="502"/>
      <c r="L857" s="428"/>
      <c r="M857" s="428"/>
      <c r="N857" s="428"/>
      <c r="O857" s="428"/>
      <c r="P857" s="428"/>
      <c r="Q857" s="428"/>
      <c r="R857" s="428"/>
      <c r="S857" s="428"/>
      <c r="T857" s="428"/>
      <c r="U857" s="428"/>
      <c r="V857" s="506"/>
      <c r="W857" s="424"/>
      <c r="X857" s="522"/>
      <c r="Y857" s="522"/>
    </row>
    <row r="858" spans="1:25" s="174" customFormat="1" ht="22.5" customHeight="1" thickTop="1" thickBot="1" x14ac:dyDescent="0.3">
      <c r="A858" s="425"/>
      <c r="B858" s="505"/>
      <c r="C858" s="505"/>
      <c r="D858" s="505"/>
      <c r="E858" s="505"/>
      <c r="F858" s="505"/>
      <c r="G858" s="505"/>
      <c r="H858" s="505"/>
      <c r="I858" s="505"/>
      <c r="J858" s="505"/>
      <c r="K858" s="502"/>
      <c r="L858" s="428"/>
      <c r="M858" s="428"/>
      <c r="N858" s="428"/>
      <c r="O858" s="428"/>
      <c r="P858" s="428"/>
      <c r="Q858" s="428"/>
      <c r="R858" s="428"/>
      <c r="S858" s="428"/>
      <c r="T858" s="428"/>
      <c r="U858" s="428"/>
      <c r="V858" s="506"/>
      <c r="W858" s="424"/>
      <c r="X858" s="522"/>
      <c r="Y858" s="522"/>
    </row>
    <row r="859" spans="1:25" s="174" customFormat="1" ht="22.5" customHeight="1" thickTop="1" thickBot="1" x14ac:dyDescent="0.3">
      <c r="A859" s="425"/>
      <c r="B859" s="505"/>
      <c r="C859" s="505"/>
      <c r="D859" s="505"/>
      <c r="E859" s="505"/>
      <c r="F859" s="505"/>
      <c r="G859" s="505"/>
      <c r="H859" s="505"/>
      <c r="I859" s="505"/>
      <c r="J859" s="505"/>
      <c r="K859" s="502"/>
      <c r="L859" s="428"/>
      <c r="M859" s="428"/>
      <c r="N859" s="428"/>
      <c r="O859" s="428"/>
      <c r="P859" s="428"/>
      <c r="Q859" s="428"/>
      <c r="R859" s="428"/>
      <c r="S859" s="428"/>
      <c r="T859" s="428"/>
      <c r="U859" s="428"/>
      <c r="V859" s="506"/>
      <c r="W859" s="424"/>
      <c r="X859" s="522"/>
      <c r="Y859" s="522"/>
    </row>
    <row r="860" spans="1:25" s="174" customFormat="1" ht="22.5" customHeight="1" thickTop="1" thickBot="1" x14ac:dyDescent="0.3">
      <c r="A860" s="425"/>
      <c r="B860" s="505"/>
      <c r="C860" s="505"/>
      <c r="D860" s="505"/>
      <c r="E860" s="505"/>
      <c r="F860" s="505"/>
      <c r="G860" s="505"/>
      <c r="H860" s="505"/>
      <c r="I860" s="505"/>
      <c r="J860" s="505"/>
      <c r="K860" s="502"/>
      <c r="L860" s="428"/>
      <c r="M860" s="428"/>
      <c r="N860" s="428"/>
      <c r="O860" s="428"/>
      <c r="P860" s="428"/>
      <c r="Q860" s="428"/>
      <c r="R860" s="428"/>
      <c r="S860" s="428"/>
      <c r="T860" s="428"/>
      <c r="U860" s="428"/>
      <c r="V860" s="506"/>
      <c r="W860" s="424"/>
      <c r="X860" s="522"/>
      <c r="Y860" s="522"/>
    </row>
    <row r="861" spans="1:25" ht="22.5" customHeight="1" thickTop="1" thickBot="1" x14ac:dyDescent="0.3">
      <c r="A861" s="425"/>
      <c r="B861" s="505"/>
      <c r="C861" s="505"/>
      <c r="D861" s="505"/>
      <c r="E861" s="505"/>
      <c r="F861" s="505"/>
      <c r="G861" s="505"/>
      <c r="H861" s="505"/>
      <c r="I861" s="505"/>
      <c r="J861" s="505"/>
      <c r="K861" s="502"/>
      <c r="L861" s="429"/>
      <c r="M861" s="429"/>
      <c r="N861" s="429"/>
      <c r="O861" s="429"/>
      <c r="P861" s="429"/>
      <c r="Q861" s="429"/>
      <c r="R861" s="429"/>
      <c r="S861" s="429"/>
      <c r="T861" s="429"/>
      <c r="U861" s="429"/>
      <c r="V861" s="507"/>
      <c r="W861" s="425"/>
      <c r="X861" s="522"/>
      <c r="Y861" s="522"/>
    </row>
    <row r="862" spans="1:25" ht="22.5" customHeight="1" thickTop="1" thickBot="1" x14ac:dyDescent="0.3">
      <c r="A862" s="425"/>
      <c r="B862" s="505"/>
      <c r="C862" s="505"/>
      <c r="D862" s="505"/>
      <c r="E862" s="505"/>
      <c r="F862" s="505"/>
      <c r="G862" s="505"/>
      <c r="H862" s="505"/>
      <c r="I862" s="505"/>
      <c r="J862" s="505"/>
      <c r="K862" s="502"/>
      <c r="L862" s="429"/>
      <c r="M862" s="429"/>
      <c r="N862" s="429"/>
      <c r="O862" s="429"/>
      <c r="P862" s="429"/>
      <c r="Q862" s="429"/>
      <c r="R862" s="429"/>
      <c r="S862" s="429"/>
      <c r="T862" s="429"/>
      <c r="U862" s="429"/>
      <c r="V862" s="507"/>
      <c r="W862" s="425"/>
      <c r="X862" s="522"/>
      <c r="Y862" s="522"/>
    </row>
    <row r="863" spans="1:25" ht="22.5" customHeight="1" thickTop="1" thickBot="1" x14ac:dyDescent="0.3">
      <c r="A863" s="425"/>
      <c r="B863" s="505"/>
      <c r="C863" s="505"/>
      <c r="D863" s="505"/>
      <c r="E863" s="505"/>
      <c r="F863" s="505"/>
      <c r="G863" s="505"/>
      <c r="H863" s="505"/>
      <c r="I863" s="505"/>
      <c r="J863" s="505"/>
      <c r="K863" s="502"/>
      <c r="L863" s="429"/>
      <c r="M863" s="429"/>
      <c r="N863" s="429"/>
      <c r="O863" s="429"/>
      <c r="P863" s="429"/>
      <c r="Q863" s="429"/>
      <c r="R863" s="429"/>
      <c r="S863" s="429"/>
      <c r="T863" s="429"/>
      <c r="U863" s="429"/>
      <c r="V863" s="507"/>
      <c r="W863" s="425"/>
      <c r="X863" s="522"/>
      <c r="Y863" s="522"/>
    </row>
    <row r="864" spans="1:25" ht="22.5" customHeight="1" thickTop="1" thickBot="1" x14ac:dyDescent="0.3">
      <c r="A864" s="425"/>
      <c r="B864" s="505"/>
      <c r="C864" s="505"/>
      <c r="D864" s="505"/>
      <c r="E864" s="505"/>
      <c r="F864" s="505"/>
      <c r="G864" s="505"/>
      <c r="H864" s="505"/>
      <c r="I864" s="505"/>
      <c r="J864" s="505"/>
      <c r="K864" s="502"/>
      <c r="L864" s="429"/>
      <c r="M864" s="429"/>
      <c r="N864" s="429"/>
      <c r="O864" s="429"/>
      <c r="P864" s="429"/>
      <c r="Q864" s="429"/>
      <c r="R864" s="429"/>
      <c r="S864" s="429"/>
      <c r="T864" s="429"/>
      <c r="U864" s="429"/>
      <c r="V864" s="507"/>
      <c r="W864" s="425"/>
      <c r="X864" s="522"/>
      <c r="Y864" s="522"/>
    </row>
    <row r="865" spans="1:25" ht="22.5" customHeight="1" thickTop="1" thickBot="1" x14ac:dyDescent="0.3">
      <c r="A865" s="425"/>
      <c r="B865" s="505"/>
      <c r="C865" s="505"/>
      <c r="D865" s="505"/>
      <c r="E865" s="505"/>
      <c r="F865" s="505"/>
      <c r="G865" s="505"/>
      <c r="H865" s="505"/>
      <c r="I865" s="505"/>
      <c r="J865" s="505"/>
      <c r="K865" s="502"/>
      <c r="L865" s="429"/>
      <c r="M865" s="429"/>
      <c r="N865" s="429"/>
      <c r="O865" s="429"/>
      <c r="P865" s="429"/>
      <c r="Q865" s="429"/>
      <c r="R865" s="429"/>
      <c r="S865" s="429"/>
      <c r="T865" s="429"/>
      <c r="U865" s="429"/>
      <c r="V865" s="507"/>
      <c r="W865" s="425"/>
      <c r="X865" s="522"/>
      <c r="Y865" s="522"/>
    </row>
    <row r="866" spans="1:25" ht="22.5" customHeight="1" thickTop="1" thickBot="1" x14ac:dyDescent="0.3">
      <c r="A866" s="425"/>
      <c r="B866" s="505"/>
      <c r="C866" s="505"/>
      <c r="D866" s="505"/>
      <c r="E866" s="505"/>
      <c r="F866" s="505"/>
      <c r="G866" s="505"/>
      <c r="H866" s="505"/>
      <c r="I866" s="505"/>
      <c r="J866" s="505"/>
      <c r="K866" s="502"/>
      <c r="L866" s="429"/>
      <c r="M866" s="429"/>
      <c r="N866" s="429"/>
      <c r="O866" s="429"/>
      <c r="P866" s="429"/>
      <c r="Q866" s="429"/>
      <c r="R866" s="429"/>
      <c r="S866" s="429"/>
      <c r="T866" s="429"/>
      <c r="U866" s="429"/>
      <c r="V866" s="507"/>
      <c r="W866" s="425"/>
      <c r="X866" s="522"/>
      <c r="Y866" s="522"/>
    </row>
    <row r="867" spans="1:25" ht="22.5" customHeight="1" thickTop="1" thickBot="1" x14ac:dyDescent="0.3">
      <c r="A867" s="425"/>
      <c r="B867" s="505"/>
      <c r="C867" s="505"/>
      <c r="D867" s="505"/>
      <c r="E867" s="505"/>
      <c r="F867" s="505"/>
      <c r="G867" s="505"/>
      <c r="H867" s="505"/>
      <c r="I867" s="505"/>
      <c r="J867" s="505"/>
      <c r="K867" s="502"/>
      <c r="L867" s="429"/>
      <c r="M867" s="429"/>
      <c r="N867" s="429"/>
      <c r="O867" s="429"/>
      <c r="P867" s="429"/>
      <c r="Q867" s="429"/>
      <c r="R867" s="429"/>
      <c r="S867" s="429"/>
      <c r="T867" s="429"/>
      <c r="U867" s="429"/>
      <c r="V867" s="507"/>
      <c r="W867" s="425"/>
      <c r="X867" s="522"/>
      <c r="Y867" s="522"/>
    </row>
    <row r="868" spans="1:25" ht="22.5" customHeight="1" thickTop="1" thickBot="1" x14ac:dyDescent="0.3">
      <c r="A868" s="425"/>
      <c r="B868" s="505"/>
      <c r="C868" s="505"/>
      <c r="D868" s="505"/>
      <c r="E868" s="505"/>
      <c r="F868" s="505"/>
      <c r="G868" s="505"/>
      <c r="H868" s="505"/>
      <c r="I868" s="505"/>
      <c r="J868" s="505"/>
      <c r="K868" s="502"/>
      <c r="L868" s="429"/>
      <c r="M868" s="429"/>
      <c r="N868" s="429"/>
      <c r="O868" s="429"/>
      <c r="P868" s="429"/>
      <c r="Q868" s="429"/>
      <c r="R868" s="429"/>
      <c r="S868" s="429"/>
      <c r="T868" s="429"/>
      <c r="U868" s="429"/>
      <c r="V868" s="507"/>
      <c r="W868" s="425"/>
      <c r="X868" s="522"/>
      <c r="Y868" s="522"/>
    </row>
    <row r="869" spans="1:25" ht="22.5" customHeight="1" thickTop="1" thickBot="1" x14ac:dyDescent="0.3">
      <c r="A869" s="425"/>
      <c r="B869" s="505"/>
      <c r="C869" s="505"/>
      <c r="D869" s="505"/>
      <c r="E869" s="505"/>
      <c r="F869" s="505"/>
      <c r="G869" s="505"/>
      <c r="H869" s="505"/>
      <c r="I869" s="505"/>
      <c r="J869" s="505"/>
      <c r="K869" s="502"/>
      <c r="L869" s="429"/>
      <c r="M869" s="429"/>
      <c r="N869" s="429"/>
      <c r="O869" s="429"/>
      <c r="P869" s="429"/>
      <c r="Q869" s="429"/>
      <c r="R869" s="429"/>
      <c r="S869" s="429"/>
      <c r="T869" s="429"/>
      <c r="U869" s="429"/>
      <c r="V869" s="507"/>
      <c r="W869" s="425"/>
      <c r="X869" s="522"/>
      <c r="Y869" s="522"/>
    </row>
    <row r="870" spans="1:25" ht="22.5" customHeight="1" thickTop="1" thickBot="1" x14ac:dyDescent="0.3">
      <c r="A870" s="425"/>
      <c r="B870" s="505"/>
      <c r="C870" s="505"/>
      <c r="D870" s="505"/>
      <c r="E870" s="505"/>
      <c r="F870" s="505"/>
      <c r="G870" s="505"/>
      <c r="H870" s="505"/>
      <c r="I870" s="505"/>
      <c r="J870" s="505"/>
      <c r="K870" s="502"/>
      <c r="L870" s="429"/>
      <c r="M870" s="429"/>
      <c r="N870" s="429"/>
      <c r="O870" s="429"/>
      <c r="P870" s="429"/>
      <c r="Q870" s="429"/>
      <c r="R870" s="429"/>
      <c r="S870" s="429"/>
      <c r="T870" s="429"/>
      <c r="U870" s="429"/>
      <c r="V870" s="507"/>
      <c r="W870" s="425"/>
      <c r="X870" s="522"/>
      <c r="Y870" s="522"/>
    </row>
    <row r="871" spans="1:25" ht="22.5" customHeight="1" thickTop="1" thickBot="1" x14ac:dyDescent="0.3">
      <c r="A871" s="425"/>
      <c r="B871" s="505"/>
      <c r="C871" s="505"/>
      <c r="D871" s="505"/>
      <c r="E871" s="505"/>
      <c r="F871" s="505"/>
      <c r="G871" s="505"/>
      <c r="H871" s="505"/>
      <c r="I871" s="505"/>
      <c r="J871" s="505"/>
      <c r="K871" s="502"/>
      <c r="L871" s="429"/>
      <c r="M871" s="429"/>
      <c r="N871" s="429"/>
      <c r="O871" s="429"/>
      <c r="P871" s="429"/>
      <c r="Q871" s="429"/>
      <c r="R871" s="429"/>
      <c r="S871" s="429"/>
      <c r="T871" s="429"/>
      <c r="U871" s="429"/>
      <c r="V871" s="507"/>
      <c r="W871" s="425"/>
      <c r="X871" s="522"/>
      <c r="Y871" s="522"/>
    </row>
    <row r="872" spans="1:25" ht="22.5" customHeight="1" thickTop="1" thickBot="1" x14ac:dyDescent="0.3">
      <c r="A872" s="425"/>
      <c r="B872" s="505"/>
      <c r="C872" s="505"/>
      <c r="D872" s="505"/>
      <c r="E872" s="505"/>
      <c r="F872" s="505"/>
      <c r="G872" s="505"/>
      <c r="H872" s="505"/>
      <c r="I872" s="505"/>
      <c r="J872" s="505"/>
      <c r="K872" s="502"/>
      <c r="L872" s="429"/>
      <c r="M872" s="429"/>
      <c r="N872" s="429"/>
      <c r="O872" s="429"/>
      <c r="P872" s="429"/>
      <c r="Q872" s="429"/>
      <c r="R872" s="429"/>
      <c r="S872" s="429"/>
      <c r="T872" s="429"/>
      <c r="U872" s="429"/>
      <c r="V872" s="507"/>
      <c r="W872" s="425"/>
      <c r="X872" s="522"/>
      <c r="Y872" s="522"/>
    </row>
    <row r="873" spans="1:25" ht="22.5" customHeight="1" thickTop="1" thickBot="1" x14ac:dyDescent="0.3">
      <c r="A873" s="425"/>
      <c r="B873" s="505"/>
      <c r="C873" s="505"/>
      <c r="D873" s="505"/>
      <c r="E873" s="505"/>
      <c r="F873" s="505"/>
      <c r="G873" s="505"/>
      <c r="H873" s="505"/>
      <c r="I873" s="505"/>
      <c r="J873" s="505"/>
      <c r="K873" s="502"/>
      <c r="L873" s="429"/>
      <c r="M873" s="429"/>
      <c r="N873" s="429"/>
      <c r="O873" s="429"/>
      <c r="P873" s="429"/>
      <c r="Q873" s="429"/>
      <c r="R873" s="429"/>
      <c r="S873" s="429"/>
      <c r="T873" s="429"/>
      <c r="U873" s="429"/>
      <c r="V873" s="507"/>
      <c r="W873" s="425"/>
      <c r="X873" s="522"/>
      <c r="Y873" s="522"/>
    </row>
    <row r="874" spans="1:25" ht="22.5" customHeight="1" thickTop="1" thickBot="1" x14ac:dyDescent="0.3">
      <c r="A874" s="425"/>
      <c r="B874" s="505"/>
      <c r="C874" s="505"/>
      <c r="D874" s="505"/>
      <c r="E874" s="505"/>
      <c r="F874" s="505"/>
      <c r="G874" s="505"/>
      <c r="H874" s="505"/>
      <c r="I874" s="505"/>
      <c r="J874" s="505"/>
      <c r="K874" s="502"/>
      <c r="L874" s="429"/>
      <c r="M874" s="429"/>
      <c r="N874" s="429"/>
      <c r="O874" s="429"/>
      <c r="P874" s="429"/>
      <c r="Q874" s="429"/>
      <c r="R874" s="429"/>
      <c r="S874" s="429"/>
      <c r="T874" s="429"/>
      <c r="U874" s="429"/>
      <c r="V874" s="507"/>
      <c r="W874" s="425"/>
      <c r="X874" s="522"/>
      <c r="Y874" s="522"/>
    </row>
    <row r="875" spans="1:25" ht="22.5" customHeight="1" thickTop="1" thickBot="1" x14ac:dyDescent="0.3">
      <c r="A875" s="425"/>
      <c r="B875" s="505"/>
      <c r="C875" s="505"/>
      <c r="D875" s="505"/>
      <c r="E875" s="505"/>
      <c r="F875" s="505"/>
      <c r="G875" s="505"/>
      <c r="H875" s="505"/>
      <c r="I875" s="505"/>
      <c r="J875" s="505"/>
      <c r="K875" s="502"/>
      <c r="L875" s="429"/>
      <c r="M875" s="429"/>
      <c r="N875" s="429"/>
      <c r="O875" s="429"/>
      <c r="P875" s="429"/>
      <c r="Q875" s="429"/>
      <c r="R875" s="429"/>
      <c r="S875" s="429"/>
      <c r="T875" s="429"/>
      <c r="U875" s="429"/>
      <c r="V875" s="507"/>
      <c r="W875" s="425"/>
      <c r="X875" s="522"/>
      <c r="Y875" s="522"/>
    </row>
    <row r="876" spans="1:25" ht="22.5" customHeight="1" thickTop="1" thickBot="1" x14ac:dyDescent="0.3">
      <c r="A876" s="425"/>
      <c r="B876" s="505"/>
      <c r="C876" s="505"/>
      <c r="D876" s="505"/>
      <c r="E876" s="505"/>
      <c r="F876" s="505"/>
      <c r="G876" s="505"/>
      <c r="H876" s="505"/>
      <c r="I876" s="505"/>
      <c r="J876" s="505"/>
      <c r="K876" s="502"/>
      <c r="L876" s="429"/>
      <c r="M876" s="429"/>
      <c r="N876" s="429"/>
      <c r="O876" s="429"/>
      <c r="P876" s="429"/>
      <c r="Q876" s="429"/>
      <c r="R876" s="429"/>
      <c r="S876" s="429"/>
      <c r="T876" s="429"/>
      <c r="U876" s="429"/>
      <c r="V876" s="507"/>
      <c r="W876" s="425"/>
      <c r="X876" s="522"/>
      <c r="Y876" s="522"/>
    </row>
    <row r="877" spans="1:25" ht="22.5" customHeight="1" thickTop="1" thickBot="1" x14ac:dyDescent="0.3">
      <c r="A877" s="425"/>
      <c r="B877" s="505"/>
      <c r="C877" s="505"/>
      <c r="D877" s="505"/>
      <c r="E877" s="505"/>
      <c r="F877" s="505"/>
      <c r="G877" s="505"/>
      <c r="H877" s="505"/>
      <c r="I877" s="505"/>
      <c r="J877" s="505"/>
      <c r="K877" s="502"/>
      <c r="L877" s="429"/>
      <c r="M877" s="429"/>
      <c r="N877" s="429"/>
      <c r="O877" s="429"/>
      <c r="P877" s="429"/>
      <c r="Q877" s="429"/>
      <c r="R877" s="429"/>
      <c r="S877" s="429"/>
      <c r="T877" s="429"/>
      <c r="U877" s="429"/>
      <c r="V877" s="507"/>
      <c r="W877" s="425"/>
      <c r="X877" s="522"/>
      <c r="Y877" s="522"/>
    </row>
    <row r="878" spans="1:25" ht="22.5" customHeight="1" thickTop="1" thickBot="1" x14ac:dyDescent="0.3">
      <c r="A878" s="425"/>
      <c r="B878" s="505"/>
      <c r="C878" s="505"/>
      <c r="D878" s="505"/>
      <c r="E878" s="505"/>
      <c r="F878" s="505"/>
      <c r="G878" s="505"/>
      <c r="H878" s="505"/>
      <c r="I878" s="505"/>
      <c r="J878" s="505"/>
      <c r="K878" s="502"/>
      <c r="L878" s="429"/>
      <c r="M878" s="429"/>
      <c r="N878" s="429"/>
      <c r="O878" s="429"/>
      <c r="P878" s="429"/>
      <c r="Q878" s="429"/>
      <c r="R878" s="429"/>
      <c r="S878" s="429"/>
      <c r="T878" s="429"/>
      <c r="U878" s="429"/>
      <c r="V878" s="507"/>
      <c r="W878" s="425"/>
      <c r="X878" s="522"/>
      <c r="Y878" s="522"/>
    </row>
    <row r="879" spans="1:25" ht="22.5" customHeight="1" thickTop="1" thickBot="1" x14ac:dyDescent="0.3">
      <c r="A879" s="425"/>
      <c r="B879" s="505"/>
      <c r="C879" s="505"/>
      <c r="D879" s="505"/>
      <c r="E879" s="505"/>
      <c r="F879" s="505"/>
      <c r="G879" s="505"/>
      <c r="H879" s="505"/>
      <c r="I879" s="505"/>
      <c r="J879" s="505"/>
      <c r="K879" s="502"/>
      <c r="L879" s="429"/>
      <c r="M879" s="429"/>
      <c r="N879" s="429"/>
      <c r="O879" s="429"/>
      <c r="P879" s="429"/>
      <c r="Q879" s="429"/>
      <c r="R879" s="429"/>
      <c r="S879" s="429"/>
      <c r="T879" s="429"/>
      <c r="U879" s="429"/>
      <c r="V879" s="507"/>
      <c r="W879" s="425"/>
      <c r="X879" s="522"/>
      <c r="Y879" s="522"/>
    </row>
    <row r="880" spans="1:25" ht="22.5" customHeight="1" thickTop="1" thickBot="1" x14ac:dyDescent="0.3">
      <c r="A880" s="425"/>
      <c r="B880" s="505"/>
      <c r="C880" s="505"/>
      <c r="D880" s="505"/>
      <c r="E880" s="505"/>
      <c r="F880" s="505"/>
      <c r="G880" s="505"/>
      <c r="H880" s="505"/>
      <c r="I880" s="505"/>
      <c r="J880" s="505"/>
      <c r="K880" s="502"/>
      <c r="L880" s="429"/>
      <c r="M880" s="429"/>
      <c r="N880" s="429"/>
      <c r="O880" s="429"/>
      <c r="P880" s="429"/>
      <c r="Q880" s="429"/>
      <c r="R880" s="429"/>
      <c r="S880" s="429"/>
      <c r="T880" s="429"/>
      <c r="U880" s="429"/>
      <c r="V880" s="507"/>
      <c r="W880" s="425"/>
      <c r="X880" s="522"/>
      <c r="Y880" s="522"/>
    </row>
    <row r="881" spans="1:25" ht="22.5" customHeight="1" thickTop="1" thickBot="1" x14ac:dyDescent="0.3">
      <c r="A881" s="425"/>
      <c r="B881" s="505"/>
      <c r="C881" s="505"/>
      <c r="D881" s="505"/>
      <c r="E881" s="505"/>
      <c r="F881" s="505"/>
      <c r="G881" s="505"/>
      <c r="H881" s="505"/>
      <c r="I881" s="505"/>
      <c r="J881" s="505"/>
      <c r="K881" s="502"/>
      <c r="L881" s="429"/>
      <c r="M881" s="429"/>
      <c r="N881" s="429"/>
      <c r="O881" s="429"/>
      <c r="P881" s="429"/>
      <c r="Q881" s="429"/>
      <c r="R881" s="429"/>
      <c r="S881" s="429"/>
      <c r="T881" s="429"/>
      <c r="U881" s="429"/>
      <c r="V881" s="507"/>
      <c r="W881" s="425"/>
      <c r="X881" s="522"/>
      <c r="Y881" s="522"/>
    </row>
    <row r="882" spans="1:25" ht="22.5" customHeight="1" thickTop="1" thickBot="1" x14ac:dyDescent="0.3">
      <c r="A882" s="425"/>
      <c r="B882" s="505"/>
      <c r="C882" s="505"/>
      <c r="D882" s="505"/>
      <c r="E882" s="505"/>
      <c r="F882" s="505"/>
      <c r="G882" s="505"/>
      <c r="H882" s="505"/>
      <c r="I882" s="505"/>
      <c r="J882" s="505"/>
      <c r="K882" s="502"/>
      <c r="L882" s="429"/>
      <c r="M882" s="429"/>
      <c r="N882" s="429"/>
      <c r="O882" s="429"/>
      <c r="P882" s="429"/>
      <c r="Q882" s="429"/>
      <c r="R882" s="429"/>
      <c r="S882" s="429"/>
      <c r="T882" s="429"/>
      <c r="U882" s="429"/>
      <c r="V882" s="507"/>
      <c r="W882" s="425"/>
      <c r="X882" s="522"/>
      <c r="Y882" s="522"/>
    </row>
    <row r="883" spans="1:25" ht="22.5" customHeight="1" thickTop="1" thickBot="1" x14ac:dyDescent="0.3">
      <c r="A883" s="425"/>
      <c r="B883" s="505"/>
      <c r="C883" s="505"/>
      <c r="D883" s="505"/>
      <c r="E883" s="505"/>
      <c r="F883" s="505"/>
      <c r="G883" s="505"/>
      <c r="H883" s="505"/>
      <c r="I883" s="505"/>
      <c r="J883" s="505"/>
      <c r="K883" s="502"/>
      <c r="L883" s="429"/>
      <c r="M883" s="429"/>
      <c r="N883" s="429"/>
      <c r="O883" s="429"/>
      <c r="P883" s="429"/>
      <c r="Q883" s="429"/>
      <c r="R883" s="429"/>
      <c r="S883" s="429"/>
      <c r="T883" s="429"/>
      <c r="U883" s="429"/>
      <c r="V883" s="507"/>
      <c r="W883" s="425"/>
      <c r="X883" s="522"/>
      <c r="Y883" s="522"/>
    </row>
    <row r="884" spans="1:25" ht="22.5" customHeight="1" thickTop="1" thickBot="1" x14ac:dyDescent="0.3">
      <c r="A884" s="425"/>
      <c r="B884" s="505"/>
      <c r="C884" s="505"/>
      <c r="D884" s="505"/>
      <c r="E884" s="505"/>
      <c r="F884" s="505"/>
      <c r="G884" s="505"/>
      <c r="H884" s="505"/>
      <c r="I884" s="505"/>
      <c r="J884" s="505"/>
      <c r="K884" s="502"/>
      <c r="L884" s="429"/>
      <c r="M884" s="429"/>
      <c r="N884" s="429"/>
      <c r="O884" s="429"/>
      <c r="P884" s="429"/>
      <c r="Q884" s="429"/>
      <c r="R884" s="429"/>
      <c r="S884" s="429"/>
      <c r="T884" s="429"/>
      <c r="U884" s="429"/>
      <c r="V884" s="507"/>
      <c r="W884" s="425"/>
      <c r="X884" s="522"/>
      <c r="Y884" s="522"/>
    </row>
    <row r="885" spans="1:25" ht="22.5" customHeight="1" thickTop="1" thickBot="1" x14ac:dyDescent="0.3">
      <c r="A885" s="425"/>
      <c r="B885" s="505"/>
      <c r="C885" s="505"/>
      <c r="D885" s="505"/>
      <c r="E885" s="505"/>
      <c r="F885" s="505"/>
      <c r="G885" s="505"/>
      <c r="H885" s="505"/>
      <c r="I885" s="505"/>
      <c r="J885" s="505"/>
      <c r="K885" s="502"/>
      <c r="L885" s="429"/>
      <c r="M885" s="429"/>
      <c r="N885" s="429"/>
      <c r="O885" s="429"/>
      <c r="P885" s="429"/>
      <c r="Q885" s="429"/>
      <c r="R885" s="429"/>
      <c r="S885" s="429"/>
      <c r="T885" s="429"/>
      <c r="U885" s="429"/>
      <c r="V885" s="507"/>
      <c r="W885" s="425"/>
      <c r="X885" s="522"/>
      <c r="Y885" s="522"/>
    </row>
    <row r="886" spans="1:25" ht="22.5" customHeight="1" thickTop="1" thickBot="1" x14ac:dyDescent="0.3">
      <c r="A886" s="425"/>
      <c r="B886" s="505"/>
      <c r="C886" s="505"/>
      <c r="D886" s="505"/>
      <c r="E886" s="505"/>
      <c r="F886" s="505"/>
      <c r="G886" s="505"/>
      <c r="H886" s="505"/>
      <c r="I886" s="505"/>
      <c r="J886" s="505"/>
      <c r="K886" s="502"/>
      <c r="L886" s="429"/>
      <c r="M886" s="429"/>
      <c r="N886" s="429"/>
      <c r="O886" s="429"/>
      <c r="P886" s="429"/>
      <c r="Q886" s="429"/>
      <c r="R886" s="429"/>
      <c r="S886" s="429"/>
      <c r="T886" s="429"/>
      <c r="U886" s="429"/>
      <c r="V886" s="507"/>
      <c r="W886" s="425"/>
      <c r="X886" s="522"/>
      <c r="Y886" s="522"/>
    </row>
    <row r="887" spans="1:25" ht="22.5" customHeight="1" thickTop="1" thickBot="1" x14ac:dyDescent="0.3">
      <c r="A887" s="425"/>
      <c r="B887" s="505"/>
      <c r="C887" s="505"/>
      <c r="D887" s="505"/>
      <c r="E887" s="505"/>
      <c r="F887" s="505"/>
      <c r="G887" s="505"/>
      <c r="H887" s="505"/>
      <c r="I887" s="505"/>
      <c r="J887" s="505"/>
      <c r="K887" s="502"/>
      <c r="L887" s="429"/>
      <c r="M887" s="429"/>
      <c r="N887" s="429"/>
      <c r="O887" s="429"/>
      <c r="P887" s="429"/>
      <c r="Q887" s="429"/>
      <c r="R887" s="429"/>
      <c r="S887" s="429"/>
      <c r="T887" s="429"/>
      <c r="U887" s="429"/>
      <c r="V887" s="507"/>
      <c r="W887" s="425"/>
      <c r="X887" s="522"/>
      <c r="Y887" s="522"/>
    </row>
    <row r="888" spans="1:25" ht="22.5" customHeight="1" thickTop="1" thickBot="1" x14ac:dyDescent="0.3">
      <c r="A888" s="425"/>
      <c r="B888" s="505"/>
      <c r="C888" s="505"/>
      <c r="D888" s="505"/>
      <c r="E888" s="505"/>
      <c r="F888" s="505"/>
      <c r="G888" s="505"/>
      <c r="H888" s="505"/>
      <c r="I888" s="505"/>
      <c r="J888" s="505"/>
      <c r="K888" s="502"/>
      <c r="L888" s="429"/>
      <c r="M888" s="429"/>
      <c r="N888" s="429"/>
      <c r="O888" s="429"/>
      <c r="P888" s="429"/>
      <c r="Q888" s="429"/>
      <c r="R888" s="429"/>
      <c r="S888" s="429"/>
      <c r="T888" s="429"/>
      <c r="U888" s="429"/>
      <c r="V888" s="507"/>
      <c r="W888" s="425"/>
      <c r="X888" s="522"/>
      <c r="Y888" s="522"/>
    </row>
    <row r="889" spans="1:25" ht="22.5" customHeight="1" thickTop="1" thickBot="1" x14ac:dyDescent="0.3">
      <c r="A889" s="425"/>
      <c r="B889" s="505"/>
      <c r="C889" s="505"/>
      <c r="D889" s="505"/>
      <c r="E889" s="505"/>
      <c r="F889" s="505"/>
      <c r="G889" s="505"/>
      <c r="H889" s="505"/>
      <c r="I889" s="505"/>
      <c r="J889" s="505"/>
      <c r="K889" s="502"/>
      <c r="L889" s="429"/>
      <c r="M889" s="429"/>
      <c r="N889" s="429"/>
      <c r="O889" s="429"/>
      <c r="P889" s="429"/>
      <c r="Q889" s="429"/>
      <c r="R889" s="429"/>
      <c r="S889" s="429"/>
      <c r="T889" s="429"/>
      <c r="U889" s="429"/>
      <c r="V889" s="507"/>
      <c r="W889" s="425"/>
      <c r="X889" s="522"/>
      <c r="Y889" s="522"/>
    </row>
    <row r="890" spans="1:25" ht="22.5" customHeight="1" thickTop="1" thickBot="1" x14ac:dyDescent="0.3">
      <c r="A890" s="425"/>
      <c r="B890" s="505"/>
      <c r="C890" s="505"/>
      <c r="D890" s="505"/>
      <c r="E890" s="505"/>
      <c r="F890" s="505"/>
      <c r="G890" s="505"/>
      <c r="H890" s="505"/>
      <c r="I890" s="505"/>
      <c r="J890" s="505"/>
      <c r="K890" s="502"/>
      <c r="L890" s="429"/>
      <c r="M890" s="429"/>
      <c r="N890" s="429"/>
      <c r="O890" s="429"/>
      <c r="P890" s="429"/>
      <c r="Q890" s="429"/>
      <c r="R890" s="429"/>
      <c r="S890" s="429"/>
      <c r="T890" s="429"/>
      <c r="U890" s="429"/>
      <c r="V890" s="507"/>
      <c r="W890" s="425"/>
      <c r="X890" s="522"/>
      <c r="Y890" s="522"/>
    </row>
    <row r="891" spans="1:25" ht="22.5" customHeight="1" thickTop="1" thickBot="1" x14ac:dyDescent="0.3">
      <c r="A891" s="425"/>
      <c r="B891" s="505"/>
      <c r="C891" s="505"/>
      <c r="D891" s="505"/>
      <c r="E891" s="505"/>
      <c r="F891" s="505"/>
      <c r="G891" s="505"/>
      <c r="H891" s="505"/>
      <c r="I891" s="505"/>
      <c r="J891" s="505"/>
      <c r="K891" s="502"/>
      <c r="L891" s="429"/>
      <c r="M891" s="429"/>
      <c r="N891" s="429"/>
      <c r="O891" s="429"/>
      <c r="P891" s="429"/>
      <c r="Q891" s="429"/>
      <c r="R891" s="429"/>
      <c r="S891" s="429"/>
      <c r="T891" s="429"/>
      <c r="U891" s="429"/>
      <c r="V891" s="507"/>
      <c r="W891" s="425"/>
      <c r="X891" s="522"/>
      <c r="Y891" s="522"/>
    </row>
    <row r="892" spans="1:25" ht="22.5" customHeight="1" thickTop="1" thickBot="1" x14ac:dyDescent="0.3">
      <c r="A892" s="425"/>
      <c r="B892" s="505"/>
      <c r="C892" s="505"/>
      <c r="D892" s="505"/>
      <c r="E892" s="505"/>
      <c r="F892" s="505"/>
      <c r="G892" s="505"/>
      <c r="H892" s="505"/>
      <c r="I892" s="505"/>
      <c r="J892" s="505"/>
      <c r="K892" s="502"/>
      <c r="L892" s="429"/>
      <c r="M892" s="429"/>
      <c r="N892" s="429"/>
      <c r="O892" s="429"/>
      <c r="P892" s="429"/>
      <c r="Q892" s="429"/>
      <c r="R892" s="429"/>
      <c r="S892" s="429"/>
      <c r="T892" s="429"/>
      <c r="U892" s="429"/>
      <c r="V892" s="507"/>
      <c r="W892" s="425"/>
      <c r="X892" s="522"/>
      <c r="Y892" s="522"/>
    </row>
    <row r="893" spans="1:25" ht="22.5" customHeight="1" thickTop="1" thickBot="1" x14ac:dyDescent="0.3">
      <c r="A893" s="425"/>
      <c r="B893" s="505"/>
      <c r="C893" s="505"/>
      <c r="D893" s="505"/>
      <c r="E893" s="505"/>
      <c r="F893" s="505"/>
      <c r="G893" s="505"/>
      <c r="H893" s="505"/>
      <c r="I893" s="505"/>
      <c r="J893" s="505"/>
      <c r="K893" s="502"/>
      <c r="L893" s="429"/>
      <c r="M893" s="429"/>
      <c r="N893" s="429"/>
      <c r="O893" s="429"/>
      <c r="P893" s="429"/>
      <c r="Q893" s="429"/>
      <c r="R893" s="429"/>
      <c r="S893" s="429"/>
      <c r="T893" s="429"/>
      <c r="U893" s="429"/>
      <c r="V893" s="507"/>
      <c r="W893" s="425"/>
      <c r="X893" s="522"/>
      <c r="Y893" s="522"/>
    </row>
    <row r="894" spans="1:25" ht="22.5" customHeight="1" thickTop="1" thickBot="1" x14ac:dyDescent="0.3">
      <c r="A894" s="425"/>
      <c r="B894" s="505"/>
      <c r="C894" s="505"/>
      <c r="D894" s="505"/>
      <c r="E894" s="505"/>
      <c r="F894" s="505"/>
      <c r="G894" s="505"/>
      <c r="H894" s="505"/>
      <c r="I894" s="505"/>
      <c r="J894" s="505"/>
      <c r="K894" s="502"/>
      <c r="L894" s="429"/>
      <c r="M894" s="429"/>
      <c r="N894" s="429"/>
      <c r="O894" s="429"/>
      <c r="P894" s="429"/>
      <c r="Q894" s="429"/>
      <c r="R894" s="429"/>
      <c r="S894" s="429"/>
      <c r="T894" s="429"/>
      <c r="U894" s="429"/>
      <c r="V894" s="507"/>
      <c r="W894" s="425"/>
      <c r="X894" s="522"/>
      <c r="Y894" s="522"/>
    </row>
    <row r="895" spans="1:25" ht="22.5" customHeight="1" thickTop="1" thickBot="1" x14ac:dyDescent="0.3">
      <c r="A895" s="425"/>
      <c r="B895" s="505"/>
      <c r="C895" s="505"/>
      <c r="D895" s="505"/>
      <c r="E895" s="505"/>
      <c r="F895" s="505"/>
      <c r="G895" s="505"/>
      <c r="H895" s="505"/>
      <c r="I895" s="505"/>
      <c r="J895" s="505"/>
      <c r="K895" s="502"/>
      <c r="L895" s="429"/>
      <c r="M895" s="429"/>
      <c r="N895" s="429"/>
      <c r="O895" s="429"/>
      <c r="P895" s="429"/>
      <c r="Q895" s="429"/>
      <c r="R895" s="429"/>
      <c r="S895" s="429"/>
      <c r="T895" s="429"/>
      <c r="U895" s="429"/>
      <c r="V895" s="507"/>
      <c r="W895" s="425"/>
      <c r="X895" s="522"/>
      <c r="Y895" s="522"/>
    </row>
    <row r="896" spans="1:25" ht="22.5" customHeight="1" thickTop="1" thickBot="1" x14ac:dyDescent="0.3">
      <c r="A896" s="425"/>
      <c r="B896" s="505"/>
      <c r="C896" s="505"/>
      <c r="D896" s="505"/>
      <c r="E896" s="505"/>
      <c r="F896" s="505"/>
      <c r="G896" s="505"/>
      <c r="H896" s="505"/>
      <c r="I896" s="505"/>
      <c r="J896" s="505"/>
      <c r="K896" s="502"/>
      <c r="L896" s="429"/>
      <c r="M896" s="429"/>
      <c r="N896" s="429"/>
      <c r="O896" s="429"/>
      <c r="P896" s="429"/>
      <c r="Q896" s="429"/>
      <c r="R896" s="429"/>
      <c r="S896" s="429"/>
      <c r="T896" s="429"/>
      <c r="U896" s="429"/>
      <c r="V896" s="507"/>
      <c r="W896" s="425"/>
      <c r="X896" s="522"/>
      <c r="Y896" s="522"/>
    </row>
    <row r="897" spans="1:25" s="174" customFormat="1" ht="22.5" customHeight="1" thickTop="1" thickBot="1" x14ac:dyDescent="0.3">
      <c r="A897" s="425"/>
      <c r="B897" s="505"/>
      <c r="C897" s="505"/>
      <c r="D897" s="505"/>
      <c r="E897" s="505"/>
      <c r="F897" s="505"/>
      <c r="G897" s="505"/>
      <c r="H897" s="519"/>
      <c r="I897" s="519"/>
      <c r="J897" s="519"/>
      <c r="K897" s="522"/>
      <c r="L897" s="430"/>
      <c r="M897" s="430"/>
      <c r="N897" s="430"/>
      <c r="O897" s="430"/>
      <c r="P897" s="430"/>
      <c r="Q897" s="430"/>
      <c r="R897" s="430"/>
      <c r="S897" s="430"/>
      <c r="T897" s="430"/>
      <c r="U897" s="430"/>
      <c r="V897" s="431"/>
      <c r="W897" s="519"/>
      <c r="X897" s="522"/>
      <c r="Y897" s="522"/>
    </row>
    <row r="898" spans="1:25" s="174" customFormat="1" ht="22.5" customHeight="1" thickTop="1" thickBot="1" x14ac:dyDescent="0.3">
      <c r="A898" s="425"/>
      <c r="B898" s="505"/>
      <c r="C898" s="505"/>
      <c r="D898" s="505"/>
      <c r="E898" s="505"/>
      <c r="F898" s="505"/>
      <c r="G898" s="505"/>
      <c r="H898" s="519"/>
      <c r="I898" s="519"/>
      <c r="J898" s="519"/>
      <c r="K898" s="501"/>
      <c r="L898" s="510"/>
      <c r="M898" s="510"/>
      <c r="N898" s="510"/>
      <c r="O898" s="510"/>
      <c r="P898" s="510"/>
      <c r="Q898" s="510"/>
      <c r="R898" s="510"/>
      <c r="S898" s="510"/>
      <c r="T898" s="510"/>
      <c r="U898" s="510"/>
      <c r="V898" s="510"/>
      <c r="W898" s="510"/>
      <c r="X898" s="522"/>
      <c r="Y898" s="522"/>
    </row>
    <row r="899" spans="1:25" s="174" customFormat="1" ht="22.5" customHeight="1" thickTop="1" thickBot="1" x14ac:dyDescent="0.3">
      <c r="A899" s="425"/>
      <c r="B899" s="505"/>
      <c r="C899" s="505"/>
      <c r="D899" s="505"/>
      <c r="E899" s="505"/>
      <c r="F899" s="505"/>
      <c r="G899" s="505"/>
      <c r="H899" s="519"/>
      <c r="I899" s="519"/>
      <c r="J899" s="519"/>
      <c r="K899" s="501"/>
      <c r="L899" s="510"/>
      <c r="M899" s="510"/>
      <c r="N899" s="510"/>
      <c r="O899" s="510"/>
      <c r="P899" s="510"/>
      <c r="Q899" s="510"/>
      <c r="R899" s="510"/>
      <c r="S899" s="510"/>
      <c r="T899" s="510"/>
      <c r="U899" s="510"/>
      <c r="V899" s="510"/>
      <c r="W899" s="510"/>
      <c r="X899" s="522"/>
      <c r="Y899" s="522"/>
    </row>
    <row r="900" spans="1:25" s="174" customFormat="1" ht="22.5" customHeight="1" thickTop="1" thickBot="1" x14ac:dyDescent="0.3">
      <c r="A900" s="425"/>
      <c r="B900" s="505"/>
      <c r="C900" s="505"/>
      <c r="D900" s="505"/>
      <c r="E900" s="505"/>
      <c r="F900" s="505"/>
      <c r="G900" s="505"/>
      <c r="H900" s="505"/>
      <c r="I900" s="505"/>
      <c r="J900" s="505"/>
      <c r="K900" s="502"/>
      <c r="L900" s="508"/>
      <c r="M900" s="508"/>
      <c r="N900" s="508"/>
      <c r="O900" s="508"/>
      <c r="P900" s="508"/>
      <c r="Q900" s="508"/>
      <c r="R900" s="508"/>
      <c r="S900" s="508"/>
      <c r="T900" s="508"/>
      <c r="U900" s="508"/>
      <c r="V900" s="508"/>
      <c r="W900" s="508"/>
      <c r="X900" s="522"/>
      <c r="Y900" s="522"/>
    </row>
    <row r="901" spans="1:25" s="174" customFormat="1" ht="22.5" customHeight="1" thickTop="1" thickBot="1" x14ac:dyDescent="0.3">
      <c r="A901" s="425"/>
      <c r="B901" s="505"/>
      <c r="C901" s="505"/>
      <c r="D901" s="505"/>
      <c r="E901" s="505"/>
      <c r="F901" s="505"/>
      <c r="G901" s="505"/>
      <c r="H901" s="505"/>
      <c r="I901" s="505"/>
      <c r="J901" s="505"/>
      <c r="K901" s="502"/>
      <c r="L901" s="508"/>
      <c r="M901" s="508"/>
      <c r="N901" s="508"/>
      <c r="O901" s="508"/>
      <c r="P901" s="508"/>
      <c r="Q901" s="508"/>
      <c r="R901" s="508"/>
      <c r="S901" s="508"/>
      <c r="T901" s="508"/>
      <c r="U901" s="508"/>
      <c r="V901" s="508"/>
      <c r="W901" s="508"/>
      <c r="X901" s="522"/>
      <c r="Y901" s="522"/>
    </row>
    <row r="902" spans="1:25" s="174" customFormat="1" ht="22.5" customHeight="1" thickTop="1" thickBot="1" x14ac:dyDescent="0.3">
      <c r="A902" s="425"/>
      <c r="B902" s="505"/>
      <c r="C902" s="505"/>
      <c r="D902" s="505"/>
      <c r="E902" s="505"/>
      <c r="F902" s="505"/>
      <c r="G902" s="505"/>
      <c r="H902" s="505"/>
      <c r="I902" s="505"/>
      <c r="J902" s="505"/>
      <c r="K902" s="502"/>
      <c r="L902" s="508"/>
      <c r="M902" s="508"/>
      <c r="N902" s="508"/>
      <c r="O902" s="508"/>
      <c r="P902" s="508"/>
      <c r="Q902" s="508"/>
      <c r="R902" s="508"/>
      <c r="S902" s="508"/>
      <c r="T902" s="508"/>
      <c r="U902" s="508"/>
      <c r="V902" s="508"/>
      <c r="W902" s="508"/>
      <c r="X902" s="522"/>
      <c r="Y902" s="522"/>
    </row>
    <row r="903" spans="1:25" s="174" customFormat="1" ht="22.5" customHeight="1" thickTop="1" thickBot="1" x14ac:dyDescent="0.3">
      <c r="A903" s="425"/>
      <c r="B903" s="505"/>
      <c r="C903" s="505"/>
      <c r="D903" s="505"/>
      <c r="E903" s="505"/>
      <c r="F903" s="505"/>
      <c r="G903" s="505"/>
      <c r="H903" s="505"/>
      <c r="I903" s="505"/>
      <c r="J903" s="505"/>
      <c r="K903" s="502"/>
      <c r="L903" s="508"/>
      <c r="M903" s="508"/>
      <c r="N903" s="508"/>
      <c r="O903" s="508"/>
      <c r="P903" s="508"/>
      <c r="Q903" s="508"/>
      <c r="R903" s="508"/>
      <c r="S903" s="508"/>
      <c r="T903" s="508"/>
      <c r="U903" s="508"/>
      <c r="V903" s="508"/>
      <c r="W903" s="508"/>
      <c r="X903" s="522"/>
      <c r="Y903" s="522"/>
    </row>
    <row r="904" spans="1:25" s="174" customFormat="1" ht="22.5" customHeight="1" thickTop="1" thickBot="1" x14ac:dyDescent="0.3">
      <c r="A904" s="425"/>
      <c r="B904" s="505"/>
      <c r="C904" s="505"/>
      <c r="D904" s="505"/>
      <c r="E904" s="505"/>
      <c r="F904" s="505"/>
      <c r="G904" s="505"/>
      <c r="H904" s="505"/>
      <c r="I904" s="505"/>
      <c r="J904" s="505"/>
      <c r="K904" s="502"/>
      <c r="L904" s="508"/>
      <c r="M904" s="508"/>
      <c r="N904" s="508"/>
      <c r="O904" s="508"/>
      <c r="P904" s="508"/>
      <c r="Q904" s="508"/>
      <c r="R904" s="508"/>
      <c r="S904" s="508"/>
      <c r="T904" s="508"/>
      <c r="U904" s="508"/>
      <c r="V904" s="508"/>
      <c r="W904" s="508"/>
      <c r="X904" s="522"/>
      <c r="Y904" s="522"/>
    </row>
    <row r="905" spans="1:25" s="174" customFormat="1" ht="22.5" customHeight="1" thickTop="1" thickBot="1" x14ac:dyDescent="0.3">
      <c r="A905" s="425"/>
      <c r="B905" s="505"/>
      <c r="C905" s="505"/>
      <c r="D905" s="505"/>
      <c r="E905" s="505"/>
      <c r="F905" s="505"/>
      <c r="G905" s="505"/>
      <c r="H905" s="505"/>
      <c r="I905" s="505"/>
      <c r="J905" s="505"/>
      <c r="K905" s="502"/>
      <c r="L905" s="508"/>
      <c r="M905" s="508"/>
      <c r="N905" s="508"/>
      <c r="O905" s="508"/>
      <c r="P905" s="508"/>
      <c r="Q905" s="508"/>
      <c r="R905" s="508"/>
      <c r="S905" s="508"/>
      <c r="T905" s="508"/>
      <c r="U905" s="508"/>
      <c r="V905" s="508"/>
      <c r="W905" s="508"/>
      <c r="X905" s="522"/>
      <c r="Y905" s="522"/>
    </row>
    <row r="906" spans="1:25" s="174" customFormat="1" ht="22.5" customHeight="1" thickTop="1" thickBot="1" x14ac:dyDescent="0.3">
      <c r="A906" s="425"/>
      <c r="B906" s="505"/>
      <c r="C906" s="505"/>
      <c r="D906" s="505"/>
      <c r="E906" s="505"/>
      <c r="F906" s="505"/>
      <c r="G906" s="505"/>
      <c r="H906" s="505"/>
      <c r="I906" s="505"/>
      <c r="J906" s="505"/>
      <c r="K906" s="502"/>
      <c r="L906" s="508"/>
      <c r="M906" s="508"/>
      <c r="N906" s="508"/>
      <c r="O906" s="508"/>
      <c r="P906" s="508"/>
      <c r="Q906" s="508"/>
      <c r="R906" s="508"/>
      <c r="S906" s="508"/>
      <c r="T906" s="508"/>
      <c r="U906" s="508"/>
      <c r="V906" s="508"/>
      <c r="W906" s="508"/>
      <c r="X906" s="522"/>
      <c r="Y906" s="522"/>
    </row>
    <row r="907" spans="1:25" s="174" customFormat="1" ht="22.5" customHeight="1" thickTop="1" thickBot="1" x14ac:dyDescent="0.3">
      <c r="A907" s="425"/>
      <c r="B907" s="505"/>
      <c r="C907" s="505"/>
      <c r="D907" s="505"/>
      <c r="E907" s="505"/>
      <c r="F907" s="505"/>
      <c r="G907" s="505"/>
      <c r="H907" s="505"/>
      <c r="I907" s="505"/>
      <c r="J907" s="505"/>
      <c r="K907" s="502"/>
      <c r="L907" s="508"/>
      <c r="M907" s="508"/>
      <c r="N907" s="508"/>
      <c r="O907" s="508"/>
      <c r="P907" s="508"/>
      <c r="Q907" s="508"/>
      <c r="R907" s="508"/>
      <c r="S907" s="508"/>
      <c r="T907" s="508"/>
      <c r="U907" s="508"/>
      <c r="V907" s="508"/>
      <c r="W907" s="508"/>
      <c r="X907" s="522"/>
      <c r="Y907" s="522"/>
    </row>
    <row r="908" spans="1:25" s="174" customFormat="1" ht="22.5" customHeight="1" thickTop="1" thickBot="1" x14ac:dyDescent="0.3">
      <c r="A908" s="425"/>
      <c r="B908" s="505"/>
      <c r="C908" s="505"/>
      <c r="D908" s="505"/>
      <c r="E908" s="505"/>
      <c r="F908" s="505"/>
      <c r="G908" s="505"/>
      <c r="H908" s="505"/>
      <c r="I908" s="505"/>
      <c r="J908" s="505"/>
      <c r="K908" s="502"/>
      <c r="L908" s="508"/>
      <c r="M908" s="508"/>
      <c r="N908" s="508"/>
      <c r="O908" s="508"/>
      <c r="P908" s="508"/>
      <c r="Q908" s="508"/>
      <c r="R908" s="508"/>
      <c r="S908" s="508"/>
      <c r="T908" s="508"/>
      <c r="U908" s="508"/>
      <c r="V908" s="508"/>
      <c r="W908" s="508"/>
      <c r="X908" s="522"/>
      <c r="Y908" s="522"/>
    </row>
    <row r="909" spans="1:25" s="174" customFormat="1" ht="22.5" customHeight="1" thickTop="1" thickBot="1" x14ac:dyDescent="0.3">
      <c r="A909" s="425"/>
      <c r="B909" s="505"/>
      <c r="C909" s="505"/>
      <c r="D909" s="505"/>
      <c r="E909" s="505"/>
      <c r="F909" s="505"/>
      <c r="G909" s="505"/>
      <c r="H909" s="505"/>
      <c r="I909" s="505"/>
      <c r="J909" s="505"/>
      <c r="K909" s="502"/>
      <c r="L909" s="508"/>
      <c r="M909" s="508"/>
      <c r="N909" s="508"/>
      <c r="O909" s="508"/>
      <c r="P909" s="508"/>
      <c r="Q909" s="508"/>
      <c r="R909" s="508"/>
      <c r="S909" s="508"/>
      <c r="T909" s="508"/>
      <c r="U909" s="508"/>
      <c r="V909" s="508"/>
      <c r="W909" s="508"/>
      <c r="X909" s="522"/>
      <c r="Y909" s="522"/>
    </row>
    <row r="910" spans="1:25" s="174" customFormat="1" ht="22.5" customHeight="1" thickTop="1" thickBot="1" x14ac:dyDescent="0.3">
      <c r="A910" s="425"/>
      <c r="B910" s="505"/>
      <c r="C910" s="505"/>
      <c r="D910" s="505"/>
      <c r="E910" s="505"/>
      <c r="F910" s="505"/>
      <c r="G910" s="505"/>
      <c r="H910" s="505"/>
      <c r="I910" s="505"/>
      <c r="J910" s="505"/>
      <c r="K910" s="502"/>
      <c r="L910" s="508"/>
      <c r="M910" s="508"/>
      <c r="N910" s="508"/>
      <c r="O910" s="508"/>
      <c r="P910" s="508"/>
      <c r="Q910" s="508"/>
      <c r="R910" s="508"/>
      <c r="S910" s="508"/>
      <c r="T910" s="508"/>
      <c r="U910" s="508"/>
      <c r="V910" s="508"/>
      <c r="W910" s="508"/>
      <c r="X910" s="522"/>
      <c r="Y910" s="522"/>
    </row>
    <row r="911" spans="1:25" s="174" customFormat="1" ht="22.5" customHeight="1" thickTop="1" thickBot="1" x14ac:dyDescent="0.3">
      <c r="A911" s="425"/>
      <c r="B911" s="505"/>
      <c r="C911" s="505"/>
      <c r="D911" s="505"/>
      <c r="E911" s="505"/>
      <c r="F911" s="505"/>
      <c r="G911" s="505"/>
      <c r="H911" s="505"/>
      <c r="I911" s="505"/>
      <c r="J911" s="505"/>
      <c r="K911" s="502"/>
      <c r="L911" s="508"/>
      <c r="M911" s="508"/>
      <c r="N911" s="508"/>
      <c r="O911" s="508"/>
      <c r="P911" s="508"/>
      <c r="Q911" s="508"/>
      <c r="R911" s="508"/>
      <c r="S911" s="508"/>
      <c r="T911" s="508"/>
      <c r="U911" s="508"/>
      <c r="V911" s="508"/>
      <c r="W911" s="508"/>
      <c r="X911" s="522"/>
      <c r="Y911" s="522"/>
    </row>
    <row r="912" spans="1:25" s="174" customFormat="1" ht="22.5" customHeight="1" thickTop="1" thickBot="1" x14ac:dyDescent="0.3">
      <c r="A912" s="425"/>
      <c r="B912" s="505"/>
      <c r="C912" s="505"/>
      <c r="D912" s="505"/>
      <c r="E912" s="505"/>
      <c r="F912" s="505"/>
      <c r="G912" s="505"/>
      <c r="H912" s="505"/>
      <c r="I912" s="505"/>
      <c r="J912" s="505"/>
      <c r="K912" s="502"/>
      <c r="L912" s="508"/>
      <c r="M912" s="508"/>
      <c r="N912" s="508"/>
      <c r="O912" s="508"/>
      <c r="P912" s="508"/>
      <c r="Q912" s="508"/>
      <c r="R912" s="508"/>
      <c r="S912" s="508"/>
      <c r="T912" s="508"/>
      <c r="U912" s="508"/>
      <c r="V912" s="508"/>
      <c r="W912" s="508"/>
      <c r="X912" s="522"/>
      <c r="Y912" s="522"/>
    </row>
    <row r="913" spans="1:25" s="174" customFormat="1" ht="22.5" customHeight="1" thickTop="1" thickBot="1" x14ac:dyDescent="0.3">
      <c r="A913" s="425"/>
      <c r="B913" s="505"/>
      <c r="C913" s="505"/>
      <c r="D913" s="505"/>
      <c r="E913" s="505"/>
      <c r="F913" s="505"/>
      <c r="G913" s="505"/>
      <c r="H913" s="505"/>
      <c r="I913" s="505"/>
      <c r="J913" s="505"/>
      <c r="K913" s="502"/>
      <c r="L913" s="508"/>
      <c r="M913" s="508"/>
      <c r="N913" s="508"/>
      <c r="O913" s="508"/>
      <c r="P913" s="508"/>
      <c r="Q913" s="508"/>
      <c r="R913" s="508"/>
      <c r="S913" s="508"/>
      <c r="T913" s="508"/>
      <c r="U913" s="508"/>
      <c r="V913" s="508"/>
      <c r="W913" s="508"/>
      <c r="X913" s="522"/>
      <c r="Y913" s="522"/>
    </row>
    <row r="914" spans="1:25" s="174" customFormat="1" ht="22.5" customHeight="1" thickTop="1" thickBot="1" x14ac:dyDescent="0.3">
      <c r="A914" s="425"/>
      <c r="B914" s="505"/>
      <c r="C914" s="505"/>
      <c r="D914" s="505"/>
      <c r="E914" s="505"/>
      <c r="F914" s="505"/>
      <c r="G914" s="505"/>
      <c r="H914" s="505"/>
      <c r="I914" s="505"/>
      <c r="J914" s="505"/>
      <c r="K914" s="502"/>
      <c r="L914" s="508"/>
      <c r="M914" s="508"/>
      <c r="N914" s="508"/>
      <c r="O914" s="508"/>
      <c r="P914" s="508"/>
      <c r="Q914" s="508"/>
      <c r="R914" s="508"/>
      <c r="S914" s="508"/>
      <c r="T914" s="508"/>
      <c r="U914" s="508"/>
      <c r="V914" s="508"/>
      <c r="W914" s="508"/>
      <c r="X914" s="522"/>
      <c r="Y914" s="522"/>
    </row>
    <row r="915" spans="1:25" s="174" customFormat="1" ht="22.5" customHeight="1" thickTop="1" thickBot="1" x14ac:dyDescent="0.3">
      <c r="A915" s="425"/>
      <c r="B915" s="505"/>
      <c r="C915" s="505"/>
      <c r="D915" s="505"/>
      <c r="E915" s="505"/>
      <c r="F915" s="505"/>
      <c r="G915" s="505"/>
      <c r="H915" s="505"/>
      <c r="I915" s="505"/>
      <c r="J915" s="505"/>
      <c r="K915" s="502"/>
      <c r="L915" s="508"/>
      <c r="M915" s="508"/>
      <c r="N915" s="508"/>
      <c r="O915" s="508"/>
      <c r="P915" s="508"/>
      <c r="Q915" s="508"/>
      <c r="R915" s="508"/>
      <c r="S915" s="508"/>
      <c r="T915" s="508"/>
      <c r="U915" s="508"/>
      <c r="V915" s="508"/>
      <c r="W915" s="508"/>
      <c r="X915" s="522"/>
      <c r="Y915" s="522"/>
    </row>
    <row r="916" spans="1:25" s="174" customFormat="1" ht="22.5" customHeight="1" thickTop="1" thickBot="1" x14ac:dyDescent="0.3">
      <c r="A916" s="425"/>
      <c r="B916" s="505"/>
      <c r="C916" s="505"/>
      <c r="D916" s="505"/>
      <c r="E916" s="505"/>
      <c r="F916" s="505"/>
      <c r="G916" s="505"/>
      <c r="H916" s="505"/>
      <c r="I916" s="505"/>
      <c r="J916" s="505"/>
      <c r="K916" s="502"/>
      <c r="L916" s="508"/>
      <c r="M916" s="508"/>
      <c r="N916" s="508"/>
      <c r="O916" s="508"/>
      <c r="P916" s="508"/>
      <c r="Q916" s="508"/>
      <c r="R916" s="508"/>
      <c r="S916" s="508"/>
      <c r="T916" s="508"/>
      <c r="U916" s="508"/>
      <c r="V916" s="508"/>
      <c r="W916" s="508"/>
      <c r="X916" s="522"/>
      <c r="Y916" s="522"/>
    </row>
    <row r="917" spans="1:25" s="174" customFormat="1" ht="22.5" customHeight="1" thickTop="1" thickBot="1" x14ac:dyDescent="0.3">
      <c r="A917" s="425"/>
      <c r="B917" s="505"/>
      <c r="C917" s="505"/>
      <c r="D917" s="505"/>
      <c r="E917" s="505"/>
      <c r="F917" s="505"/>
      <c r="G917" s="505"/>
      <c r="H917" s="505"/>
      <c r="I917" s="505"/>
      <c r="J917" s="505"/>
      <c r="K917" s="502"/>
      <c r="L917" s="508"/>
      <c r="M917" s="508"/>
      <c r="N917" s="508"/>
      <c r="O917" s="508"/>
      <c r="P917" s="508"/>
      <c r="Q917" s="508"/>
      <c r="R917" s="508"/>
      <c r="S917" s="508"/>
      <c r="T917" s="508"/>
      <c r="U917" s="508"/>
      <c r="V917" s="508"/>
      <c r="W917" s="508"/>
      <c r="X917" s="522"/>
      <c r="Y917" s="522"/>
    </row>
    <row r="918" spans="1:25" s="174" customFormat="1" ht="22.5" customHeight="1" thickTop="1" thickBot="1" x14ac:dyDescent="0.3">
      <c r="A918" s="425"/>
      <c r="B918" s="505"/>
      <c r="C918" s="505"/>
      <c r="D918" s="505"/>
      <c r="E918" s="505"/>
      <c r="F918" s="505"/>
      <c r="G918" s="505"/>
      <c r="H918" s="505"/>
      <c r="I918" s="505"/>
      <c r="J918" s="505"/>
      <c r="K918" s="502"/>
      <c r="L918" s="508"/>
      <c r="M918" s="508"/>
      <c r="N918" s="508"/>
      <c r="O918" s="508"/>
      <c r="P918" s="508"/>
      <c r="Q918" s="508"/>
      <c r="R918" s="508"/>
      <c r="S918" s="508"/>
      <c r="T918" s="508"/>
      <c r="U918" s="508"/>
      <c r="V918" s="508"/>
      <c r="W918" s="508"/>
      <c r="X918" s="522"/>
      <c r="Y918" s="522"/>
    </row>
    <row r="919" spans="1:25" s="174" customFormat="1" ht="22.5" customHeight="1" thickTop="1" thickBot="1" x14ac:dyDescent="0.3">
      <c r="A919" s="425"/>
      <c r="B919" s="505"/>
      <c r="C919" s="505"/>
      <c r="D919" s="505"/>
      <c r="E919" s="505"/>
      <c r="F919" s="505"/>
      <c r="G919" s="505"/>
      <c r="H919" s="505"/>
      <c r="I919" s="505"/>
      <c r="J919" s="505"/>
      <c r="K919" s="502"/>
      <c r="L919" s="508"/>
      <c r="M919" s="508"/>
      <c r="N919" s="508"/>
      <c r="O919" s="508"/>
      <c r="P919" s="508"/>
      <c r="Q919" s="508"/>
      <c r="R919" s="508"/>
      <c r="S919" s="508"/>
      <c r="T919" s="508"/>
      <c r="U919" s="508"/>
      <c r="V919" s="508"/>
      <c r="W919" s="508"/>
      <c r="X919" s="522"/>
      <c r="Y919" s="522"/>
    </row>
    <row r="920" spans="1:25" s="174" customFormat="1" ht="22.5" customHeight="1" thickTop="1" thickBot="1" x14ac:dyDescent="0.3">
      <c r="A920" s="425"/>
      <c r="B920" s="505"/>
      <c r="C920" s="505"/>
      <c r="D920" s="505"/>
      <c r="E920" s="505"/>
      <c r="F920" s="505"/>
      <c r="G920" s="505"/>
      <c r="H920" s="505"/>
      <c r="I920" s="505"/>
      <c r="J920" s="505"/>
      <c r="K920" s="502"/>
      <c r="L920" s="508"/>
      <c r="M920" s="508"/>
      <c r="N920" s="508"/>
      <c r="O920" s="508"/>
      <c r="P920" s="508"/>
      <c r="Q920" s="508"/>
      <c r="R920" s="508"/>
      <c r="S920" s="508"/>
      <c r="T920" s="508"/>
      <c r="U920" s="508"/>
      <c r="V920" s="508"/>
      <c r="W920" s="508"/>
      <c r="X920" s="522"/>
      <c r="Y920" s="522"/>
    </row>
    <row r="921" spans="1:25" s="174" customFormat="1" ht="22.5" customHeight="1" thickTop="1" thickBot="1" x14ac:dyDescent="0.3">
      <c r="A921" s="425"/>
      <c r="B921" s="505"/>
      <c r="C921" s="505"/>
      <c r="D921" s="505"/>
      <c r="E921" s="505"/>
      <c r="F921" s="505"/>
      <c r="G921" s="505"/>
      <c r="H921" s="505"/>
      <c r="I921" s="505"/>
      <c r="J921" s="505"/>
      <c r="K921" s="502"/>
      <c r="L921" s="508"/>
      <c r="M921" s="508"/>
      <c r="N921" s="508"/>
      <c r="O921" s="508"/>
      <c r="P921" s="508"/>
      <c r="Q921" s="508"/>
      <c r="R921" s="508"/>
      <c r="S921" s="508"/>
      <c r="T921" s="508"/>
      <c r="U921" s="508"/>
      <c r="V921" s="508"/>
      <c r="W921" s="508"/>
      <c r="X921" s="522"/>
      <c r="Y921" s="522"/>
    </row>
    <row r="922" spans="1:25" s="174" customFormat="1" ht="22.5" customHeight="1" thickTop="1" thickBot="1" x14ac:dyDescent="0.3">
      <c r="A922" s="425"/>
      <c r="B922" s="505"/>
      <c r="C922" s="505"/>
      <c r="D922" s="505"/>
      <c r="E922" s="505"/>
      <c r="F922" s="505"/>
      <c r="G922" s="505"/>
      <c r="H922" s="505"/>
      <c r="I922" s="505"/>
      <c r="J922" s="505"/>
      <c r="K922" s="502"/>
      <c r="L922" s="508"/>
      <c r="M922" s="508"/>
      <c r="N922" s="508"/>
      <c r="O922" s="508"/>
      <c r="P922" s="508"/>
      <c r="Q922" s="508"/>
      <c r="R922" s="508"/>
      <c r="S922" s="508"/>
      <c r="T922" s="508"/>
      <c r="U922" s="508"/>
      <c r="V922" s="508"/>
      <c r="W922" s="508"/>
      <c r="X922" s="522"/>
      <c r="Y922" s="522"/>
    </row>
    <row r="923" spans="1:25" s="174" customFormat="1" ht="22.5" customHeight="1" thickTop="1" thickBot="1" x14ac:dyDescent="0.3">
      <c r="A923" s="425"/>
      <c r="B923" s="505"/>
      <c r="C923" s="505"/>
      <c r="D923" s="505"/>
      <c r="E923" s="505"/>
      <c r="F923" s="505"/>
      <c r="G923" s="505"/>
      <c r="H923" s="505"/>
      <c r="I923" s="505"/>
      <c r="J923" s="505"/>
      <c r="K923" s="502"/>
      <c r="L923" s="508"/>
      <c r="M923" s="508"/>
      <c r="N923" s="508"/>
      <c r="O923" s="508"/>
      <c r="P923" s="508"/>
      <c r="Q923" s="508"/>
      <c r="R923" s="508"/>
      <c r="S923" s="508"/>
      <c r="T923" s="508"/>
      <c r="U923" s="508"/>
      <c r="V923" s="508"/>
      <c r="W923" s="508"/>
      <c r="X923" s="522"/>
      <c r="Y923" s="522"/>
    </row>
    <row r="924" spans="1:25" s="174" customFormat="1" ht="22.5" customHeight="1" thickTop="1" thickBot="1" x14ac:dyDescent="0.3">
      <c r="A924" s="425"/>
      <c r="B924" s="505"/>
      <c r="C924" s="505"/>
      <c r="D924" s="505"/>
      <c r="E924" s="505"/>
      <c r="F924" s="505"/>
      <c r="G924" s="505"/>
      <c r="H924" s="519"/>
      <c r="I924" s="519"/>
      <c r="J924" s="519"/>
      <c r="K924" s="501"/>
      <c r="L924" s="510"/>
      <c r="M924" s="510"/>
      <c r="N924" s="510"/>
      <c r="O924" s="510"/>
      <c r="P924" s="510"/>
      <c r="Q924" s="510"/>
      <c r="R924" s="510"/>
      <c r="S924" s="510"/>
      <c r="T924" s="510"/>
      <c r="U924" s="510"/>
      <c r="V924" s="510"/>
      <c r="W924" s="510"/>
      <c r="X924" s="522"/>
      <c r="Y924" s="522"/>
    </row>
    <row r="925" spans="1:25" s="174" customFormat="1" ht="22.5" customHeight="1" thickTop="1" thickBot="1" x14ac:dyDescent="0.3">
      <c r="A925" s="425"/>
      <c r="B925" s="505"/>
      <c r="C925" s="505"/>
      <c r="D925" s="505"/>
      <c r="E925" s="505"/>
      <c r="F925" s="505"/>
      <c r="G925" s="505"/>
      <c r="H925" s="505"/>
      <c r="I925" s="505"/>
      <c r="J925" s="505"/>
      <c r="K925" s="502"/>
      <c r="L925" s="508"/>
      <c r="M925" s="508"/>
      <c r="N925" s="508"/>
      <c r="O925" s="508"/>
      <c r="P925" s="508"/>
      <c r="Q925" s="508"/>
      <c r="R925" s="508"/>
      <c r="S925" s="508"/>
      <c r="T925" s="508"/>
      <c r="U925" s="508"/>
      <c r="V925" s="508"/>
      <c r="W925" s="508"/>
      <c r="X925" s="522"/>
      <c r="Y925" s="522"/>
    </row>
    <row r="926" spans="1:25" s="174" customFormat="1" ht="22.5" customHeight="1" thickTop="1" thickBot="1" x14ac:dyDescent="0.3">
      <c r="A926" s="425"/>
      <c r="B926" s="505"/>
      <c r="C926" s="505"/>
      <c r="D926" s="505"/>
      <c r="E926" s="505"/>
      <c r="F926" s="505"/>
      <c r="G926" s="505"/>
      <c r="H926" s="505"/>
      <c r="I926" s="505"/>
      <c r="J926" s="505"/>
      <c r="K926" s="502"/>
      <c r="L926" s="508"/>
      <c r="M926" s="508"/>
      <c r="N926" s="508"/>
      <c r="O926" s="508"/>
      <c r="P926" s="508"/>
      <c r="Q926" s="508"/>
      <c r="R926" s="508"/>
      <c r="S926" s="508"/>
      <c r="T926" s="508"/>
      <c r="U926" s="508"/>
      <c r="V926" s="508"/>
      <c r="W926" s="508"/>
      <c r="X926" s="522"/>
      <c r="Y926" s="522"/>
    </row>
    <row r="927" spans="1:25" s="174" customFormat="1" ht="22.5" customHeight="1" thickTop="1" thickBot="1" x14ac:dyDescent="0.3">
      <c r="A927" s="425"/>
      <c r="B927" s="505"/>
      <c r="C927" s="505"/>
      <c r="D927" s="505"/>
      <c r="E927" s="505"/>
      <c r="F927" s="505"/>
      <c r="G927" s="505"/>
      <c r="H927" s="505"/>
      <c r="I927" s="505"/>
      <c r="J927" s="505"/>
      <c r="K927" s="502"/>
      <c r="L927" s="508"/>
      <c r="M927" s="508"/>
      <c r="N927" s="508"/>
      <c r="O927" s="508"/>
      <c r="P927" s="508"/>
      <c r="Q927" s="508"/>
      <c r="R927" s="508"/>
      <c r="S927" s="508"/>
      <c r="T927" s="508"/>
      <c r="U927" s="508"/>
      <c r="V927" s="508"/>
      <c r="W927" s="508"/>
      <c r="X927" s="522"/>
      <c r="Y927" s="522"/>
    </row>
    <row r="928" spans="1:25" s="174" customFormat="1" ht="22.5" customHeight="1" thickTop="1" thickBot="1" x14ac:dyDescent="0.3">
      <c r="A928" s="425"/>
      <c r="B928" s="505"/>
      <c r="C928" s="505"/>
      <c r="D928" s="505"/>
      <c r="E928" s="505"/>
      <c r="F928" s="505"/>
      <c r="G928" s="505"/>
      <c r="H928" s="505"/>
      <c r="I928" s="505"/>
      <c r="J928" s="505"/>
      <c r="K928" s="502"/>
      <c r="L928" s="508"/>
      <c r="M928" s="508"/>
      <c r="N928" s="508"/>
      <c r="O928" s="508"/>
      <c r="P928" s="508"/>
      <c r="Q928" s="508"/>
      <c r="R928" s="508"/>
      <c r="S928" s="508"/>
      <c r="T928" s="508"/>
      <c r="U928" s="508"/>
      <c r="V928" s="508"/>
      <c r="W928" s="508"/>
      <c r="X928" s="522"/>
      <c r="Y928" s="522"/>
    </row>
    <row r="929" spans="1:25" s="174" customFormat="1" ht="22.5" customHeight="1" thickTop="1" thickBot="1" x14ac:dyDescent="0.3">
      <c r="A929" s="425"/>
      <c r="B929" s="505"/>
      <c r="C929" s="505"/>
      <c r="D929" s="505"/>
      <c r="E929" s="505"/>
      <c r="F929" s="505"/>
      <c r="G929" s="505"/>
      <c r="H929" s="505"/>
      <c r="I929" s="505"/>
      <c r="J929" s="505"/>
      <c r="K929" s="502"/>
      <c r="L929" s="508"/>
      <c r="M929" s="508"/>
      <c r="N929" s="508"/>
      <c r="O929" s="508"/>
      <c r="P929" s="508"/>
      <c r="Q929" s="508"/>
      <c r="R929" s="508"/>
      <c r="S929" s="508"/>
      <c r="T929" s="508"/>
      <c r="U929" s="508"/>
      <c r="V929" s="508"/>
      <c r="W929" s="508"/>
      <c r="X929" s="522"/>
      <c r="Y929" s="522"/>
    </row>
    <row r="930" spans="1:25" s="174" customFormat="1" ht="22.5" customHeight="1" thickTop="1" thickBot="1" x14ac:dyDescent="0.3">
      <c r="A930" s="425"/>
      <c r="B930" s="505"/>
      <c r="C930" s="505"/>
      <c r="D930" s="505"/>
      <c r="E930" s="505"/>
      <c r="F930" s="505"/>
      <c r="G930" s="505"/>
      <c r="H930" s="505"/>
      <c r="I930" s="505"/>
      <c r="J930" s="505"/>
      <c r="K930" s="502"/>
      <c r="L930" s="508"/>
      <c r="M930" s="508"/>
      <c r="N930" s="508"/>
      <c r="O930" s="508"/>
      <c r="P930" s="508"/>
      <c r="Q930" s="508"/>
      <c r="R930" s="508"/>
      <c r="S930" s="508"/>
      <c r="T930" s="508"/>
      <c r="U930" s="508"/>
      <c r="V930" s="508"/>
      <c r="W930" s="508"/>
      <c r="X930" s="522"/>
      <c r="Y930" s="522"/>
    </row>
    <row r="931" spans="1:25" s="174" customFormat="1" ht="22.5" customHeight="1" thickTop="1" thickBot="1" x14ac:dyDescent="0.3">
      <c r="A931" s="425"/>
      <c r="B931" s="505"/>
      <c r="C931" s="505"/>
      <c r="D931" s="505"/>
      <c r="E931" s="505"/>
      <c r="F931" s="505"/>
      <c r="G931" s="505"/>
      <c r="H931" s="505"/>
      <c r="I931" s="505"/>
      <c r="J931" s="505"/>
      <c r="K931" s="502"/>
      <c r="L931" s="508"/>
      <c r="M931" s="508"/>
      <c r="N931" s="508"/>
      <c r="O931" s="508"/>
      <c r="P931" s="508"/>
      <c r="Q931" s="508"/>
      <c r="R931" s="508"/>
      <c r="S931" s="508"/>
      <c r="T931" s="508"/>
      <c r="U931" s="508"/>
      <c r="V931" s="508"/>
      <c r="W931" s="508"/>
      <c r="X931" s="522"/>
      <c r="Y931" s="522"/>
    </row>
    <row r="932" spans="1:25" s="174" customFormat="1" ht="22.5" customHeight="1" thickTop="1" thickBot="1" x14ac:dyDescent="0.3">
      <c r="A932" s="425"/>
      <c r="B932" s="505"/>
      <c r="C932" s="505"/>
      <c r="D932" s="505"/>
      <c r="E932" s="505"/>
      <c r="F932" s="505"/>
      <c r="G932" s="505"/>
      <c r="H932" s="505"/>
      <c r="I932" s="505"/>
      <c r="J932" s="505"/>
      <c r="K932" s="502"/>
      <c r="L932" s="508"/>
      <c r="M932" s="508"/>
      <c r="N932" s="508"/>
      <c r="O932" s="508"/>
      <c r="P932" s="508"/>
      <c r="Q932" s="508"/>
      <c r="R932" s="508"/>
      <c r="S932" s="508"/>
      <c r="T932" s="508"/>
      <c r="U932" s="508"/>
      <c r="V932" s="508"/>
      <c r="W932" s="508"/>
      <c r="X932" s="522"/>
      <c r="Y932" s="522"/>
    </row>
    <row r="933" spans="1:25" s="174" customFormat="1" ht="22.5" customHeight="1" thickTop="1" thickBot="1" x14ac:dyDescent="0.3">
      <c r="A933" s="425"/>
      <c r="B933" s="505"/>
      <c r="C933" s="505"/>
      <c r="D933" s="505"/>
      <c r="E933" s="505"/>
      <c r="F933" s="505"/>
      <c r="G933" s="505"/>
      <c r="H933" s="505"/>
      <c r="I933" s="505"/>
      <c r="J933" s="505"/>
      <c r="K933" s="502"/>
      <c r="L933" s="508"/>
      <c r="M933" s="508"/>
      <c r="N933" s="508"/>
      <c r="O933" s="508"/>
      <c r="P933" s="508"/>
      <c r="Q933" s="508"/>
      <c r="R933" s="508"/>
      <c r="S933" s="508"/>
      <c r="T933" s="508"/>
      <c r="U933" s="508"/>
      <c r="V933" s="508"/>
      <c r="W933" s="508"/>
      <c r="X933" s="522"/>
      <c r="Y933" s="522"/>
    </row>
    <row r="934" spans="1:25" s="174" customFormat="1" ht="22.5" customHeight="1" thickTop="1" thickBot="1" x14ac:dyDescent="0.3">
      <c r="A934" s="425"/>
      <c r="B934" s="505"/>
      <c r="C934" s="505"/>
      <c r="D934" s="505"/>
      <c r="E934" s="505"/>
      <c r="F934" s="505"/>
      <c r="G934" s="505"/>
      <c r="H934" s="505"/>
      <c r="I934" s="505"/>
      <c r="J934" s="505"/>
      <c r="K934" s="502"/>
      <c r="L934" s="508"/>
      <c r="M934" s="508"/>
      <c r="N934" s="508"/>
      <c r="O934" s="508"/>
      <c r="P934" s="508"/>
      <c r="Q934" s="508"/>
      <c r="R934" s="508"/>
      <c r="S934" s="508"/>
      <c r="T934" s="508"/>
      <c r="U934" s="508"/>
      <c r="V934" s="508"/>
      <c r="W934" s="508"/>
      <c r="X934" s="522"/>
      <c r="Y934" s="522"/>
    </row>
    <row r="935" spans="1:25" s="174" customFormat="1" ht="22.5" customHeight="1" thickTop="1" thickBot="1" x14ac:dyDescent="0.3">
      <c r="A935" s="425"/>
      <c r="B935" s="505"/>
      <c r="C935" s="505"/>
      <c r="D935" s="505"/>
      <c r="E935" s="505"/>
      <c r="F935" s="505"/>
      <c r="G935" s="505"/>
      <c r="H935" s="505"/>
      <c r="I935" s="505"/>
      <c r="J935" s="505"/>
      <c r="K935" s="502"/>
      <c r="L935" s="508"/>
      <c r="M935" s="508"/>
      <c r="N935" s="508"/>
      <c r="O935" s="508"/>
      <c r="P935" s="508"/>
      <c r="Q935" s="508"/>
      <c r="R935" s="508"/>
      <c r="S935" s="508"/>
      <c r="T935" s="508"/>
      <c r="U935" s="508"/>
      <c r="V935" s="508"/>
      <c r="W935" s="508"/>
      <c r="X935" s="522"/>
      <c r="Y935" s="522"/>
    </row>
    <row r="936" spans="1:25" s="174" customFormat="1" ht="22.5" customHeight="1" thickTop="1" thickBot="1" x14ac:dyDescent="0.3">
      <c r="A936" s="425"/>
      <c r="B936" s="505"/>
      <c r="C936" s="505"/>
      <c r="D936" s="505"/>
      <c r="E936" s="505"/>
      <c r="F936" s="505"/>
      <c r="G936" s="505"/>
      <c r="H936" s="505"/>
      <c r="I936" s="505"/>
      <c r="J936" s="505"/>
      <c r="K936" s="502"/>
      <c r="L936" s="508"/>
      <c r="M936" s="508"/>
      <c r="N936" s="508"/>
      <c r="O936" s="508"/>
      <c r="P936" s="508"/>
      <c r="Q936" s="508"/>
      <c r="R936" s="508"/>
      <c r="S936" s="508"/>
      <c r="T936" s="508"/>
      <c r="U936" s="508"/>
      <c r="V936" s="508"/>
      <c r="W936" s="508"/>
      <c r="X936" s="522"/>
      <c r="Y936" s="522"/>
    </row>
    <row r="937" spans="1:25" s="174" customFormat="1" ht="22.5" customHeight="1" thickTop="1" thickBot="1" x14ac:dyDescent="0.3">
      <c r="A937" s="425"/>
      <c r="B937" s="505"/>
      <c r="C937" s="505"/>
      <c r="D937" s="505"/>
      <c r="E937" s="505"/>
      <c r="F937" s="505"/>
      <c r="G937" s="505"/>
      <c r="H937" s="505"/>
      <c r="I937" s="505"/>
      <c r="J937" s="505"/>
      <c r="K937" s="502"/>
      <c r="L937" s="508"/>
      <c r="M937" s="508"/>
      <c r="N937" s="508"/>
      <c r="O937" s="508"/>
      <c r="P937" s="508"/>
      <c r="Q937" s="508"/>
      <c r="R937" s="508"/>
      <c r="S937" s="508"/>
      <c r="T937" s="508"/>
      <c r="U937" s="508"/>
      <c r="V937" s="508"/>
      <c r="W937" s="508"/>
      <c r="X937" s="522"/>
      <c r="Y937" s="522"/>
    </row>
    <row r="938" spans="1:25" s="174" customFormat="1" ht="22.5" customHeight="1" thickTop="1" thickBot="1" x14ac:dyDescent="0.3">
      <c r="A938" s="425"/>
      <c r="B938" s="505"/>
      <c r="C938" s="505"/>
      <c r="D938" s="505"/>
      <c r="E938" s="505"/>
      <c r="F938" s="505"/>
      <c r="G938" s="505"/>
      <c r="H938" s="505"/>
      <c r="I938" s="505"/>
      <c r="J938" s="505"/>
      <c r="K938" s="502"/>
      <c r="L938" s="508"/>
      <c r="M938" s="508"/>
      <c r="N938" s="508"/>
      <c r="O938" s="508"/>
      <c r="P938" s="508"/>
      <c r="Q938" s="508"/>
      <c r="R938" s="508"/>
      <c r="S938" s="508"/>
      <c r="T938" s="508"/>
      <c r="U938" s="508"/>
      <c r="V938" s="508"/>
      <c r="W938" s="508"/>
      <c r="X938" s="522"/>
      <c r="Y938" s="522"/>
    </row>
    <row r="939" spans="1:25" s="174" customFormat="1" ht="22.5" customHeight="1" thickTop="1" thickBot="1" x14ac:dyDescent="0.3">
      <c r="A939" s="425"/>
      <c r="B939" s="505"/>
      <c r="C939" s="505"/>
      <c r="D939" s="505"/>
      <c r="E939" s="505"/>
      <c r="F939" s="505"/>
      <c r="G939" s="505"/>
      <c r="H939" s="505"/>
      <c r="I939" s="505"/>
      <c r="J939" s="505"/>
      <c r="K939" s="502"/>
      <c r="L939" s="508"/>
      <c r="M939" s="508"/>
      <c r="N939" s="508"/>
      <c r="O939" s="508"/>
      <c r="P939" s="508"/>
      <c r="Q939" s="508"/>
      <c r="R939" s="508"/>
      <c r="S939" s="508"/>
      <c r="T939" s="508"/>
      <c r="U939" s="508"/>
      <c r="V939" s="508"/>
      <c r="W939" s="508"/>
      <c r="X939" s="522"/>
      <c r="Y939" s="522"/>
    </row>
    <row r="940" spans="1:25" s="174" customFormat="1" ht="22.5" customHeight="1" thickTop="1" thickBot="1" x14ac:dyDescent="0.3">
      <c r="A940" s="425"/>
      <c r="B940" s="505"/>
      <c r="C940" s="505"/>
      <c r="D940" s="505"/>
      <c r="E940" s="505"/>
      <c r="F940" s="505"/>
      <c r="G940" s="505"/>
      <c r="H940" s="505"/>
      <c r="I940" s="505"/>
      <c r="J940" s="505"/>
      <c r="K940" s="502"/>
      <c r="L940" s="508"/>
      <c r="M940" s="508"/>
      <c r="N940" s="508"/>
      <c r="O940" s="508"/>
      <c r="P940" s="508"/>
      <c r="Q940" s="508"/>
      <c r="R940" s="508"/>
      <c r="S940" s="508"/>
      <c r="T940" s="508"/>
      <c r="U940" s="508"/>
      <c r="V940" s="508"/>
      <c r="W940" s="508"/>
      <c r="X940" s="522"/>
      <c r="Y940" s="522"/>
    </row>
    <row r="941" spans="1:25" s="174" customFormat="1" ht="22.5" customHeight="1" thickTop="1" thickBot="1" x14ac:dyDescent="0.3">
      <c r="A941" s="425"/>
      <c r="B941" s="505"/>
      <c r="C941" s="505"/>
      <c r="D941" s="505"/>
      <c r="E941" s="505"/>
      <c r="F941" s="505"/>
      <c r="G941" s="505"/>
      <c r="H941" s="505"/>
      <c r="I941" s="505"/>
      <c r="J941" s="505"/>
      <c r="K941" s="502"/>
      <c r="L941" s="508"/>
      <c r="M941" s="508"/>
      <c r="N941" s="508"/>
      <c r="O941" s="508"/>
      <c r="P941" s="508"/>
      <c r="Q941" s="508"/>
      <c r="R941" s="508"/>
      <c r="S941" s="508"/>
      <c r="T941" s="508"/>
      <c r="U941" s="508"/>
      <c r="V941" s="508"/>
      <c r="W941" s="508"/>
      <c r="X941" s="522"/>
      <c r="Y941" s="522"/>
    </row>
    <row r="942" spans="1:25" s="174" customFormat="1" ht="22.5" customHeight="1" thickTop="1" thickBot="1" x14ac:dyDescent="0.3">
      <c r="A942" s="425"/>
      <c r="B942" s="505"/>
      <c r="C942" s="505"/>
      <c r="D942" s="505"/>
      <c r="E942" s="505"/>
      <c r="F942" s="505"/>
      <c r="G942" s="505"/>
      <c r="H942" s="505"/>
      <c r="I942" s="505"/>
      <c r="J942" s="505"/>
      <c r="K942" s="502"/>
      <c r="L942" s="508"/>
      <c r="M942" s="508"/>
      <c r="N942" s="508"/>
      <c r="O942" s="508"/>
      <c r="P942" s="508"/>
      <c r="Q942" s="508"/>
      <c r="R942" s="508"/>
      <c r="S942" s="508"/>
      <c r="T942" s="508"/>
      <c r="U942" s="508"/>
      <c r="V942" s="508"/>
      <c r="W942" s="508"/>
      <c r="X942" s="522"/>
      <c r="Y942" s="522"/>
    </row>
    <row r="943" spans="1:25" s="174" customFormat="1" ht="22.5" customHeight="1" thickTop="1" thickBot="1" x14ac:dyDescent="0.3">
      <c r="A943" s="425"/>
      <c r="B943" s="505"/>
      <c r="C943" s="505"/>
      <c r="D943" s="505"/>
      <c r="E943" s="505"/>
      <c r="F943" s="505"/>
      <c r="G943" s="505"/>
      <c r="H943" s="505"/>
      <c r="I943" s="505"/>
      <c r="J943" s="505"/>
      <c r="K943" s="502"/>
      <c r="L943" s="508"/>
      <c r="M943" s="508"/>
      <c r="N943" s="508"/>
      <c r="O943" s="508"/>
      <c r="P943" s="508"/>
      <c r="Q943" s="508"/>
      <c r="R943" s="508"/>
      <c r="S943" s="508"/>
      <c r="T943" s="508"/>
      <c r="U943" s="508"/>
      <c r="V943" s="508"/>
      <c r="W943" s="508"/>
      <c r="X943" s="522"/>
      <c r="Y943" s="522"/>
    </row>
    <row r="944" spans="1:25" s="174" customFormat="1" ht="22.5" customHeight="1" thickTop="1" thickBot="1" x14ac:dyDescent="0.3">
      <c r="A944" s="425"/>
      <c r="B944" s="505"/>
      <c r="C944" s="505"/>
      <c r="D944" s="505"/>
      <c r="E944" s="505"/>
      <c r="F944" s="505"/>
      <c r="G944" s="505"/>
      <c r="H944" s="505"/>
      <c r="I944" s="505"/>
      <c r="J944" s="505"/>
      <c r="K944" s="502"/>
      <c r="L944" s="508"/>
      <c r="M944" s="508"/>
      <c r="N944" s="508"/>
      <c r="O944" s="508"/>
      <c r="P944" s="508"/>
      <c r="Q944" s="508"/>
      <c r="R944" s="508"/>
      <c r="S944" s="508"/>
      <c r="T944" s="508"/>
      <c r="U944" s="508"/>
      <c r="V944" s="508"/>
      <c r="W944" s="508"/>
      <c r="X944" s="522"/>
      <c r="Y944" s="522"/>
    </row>
    <row r="945" spans="1:25" s="174" customFormat="1" ht="22.5" customHeight="1" thickTop="1" thickBot="1" x14ac:dyDescent="0.3">
      <c r="A945" s="425"/>
      <c r="B945" s="505"/>
      <c r="C945" s="505"/>
      <c r="D945" s="505"/>
      <c r="E945" s="505"/>
      <c r="F945" s="505"/>
      <c r="G945" s="505"/>
      <c r="H945" s="505"/>
      <c r="I945" s="505"/>
      <c r="J945" s="505"/>
      <c r="K945" s="502"/>
      <c r="L945" s="508"/>
      <c r="M945" s="508"/>
      <c r="N945" s="508"/>
      <c r="O945" s="508"/>
      <c r="P945" s="508"/>
      <c r="Q945" s="508"/>
      <c r="R945" s="508"/>
      <c r="S945" s="508"/>
      <c r="T945" s="508"/>
      <c r="U945" s="508"/>
      <c r="V945" s="508"/>
      <c r="W945" s="508"/>
      <c r="X945" s="522"/>
      <c r="Y945" s="522"/>
    </row>
    <row r="946" spans="1:25" s="174" customFormat="1" ht="22.5" customHeight="1" thickTop="1" thickBot="1" x14ac:dyDescent="0.3">
      <c r="A946" s="425"/>
      <c r="B946" s="505"/>
      <c r="C946" s="505"/>
      <c r="D946" s="505"/>
      <c r="E946" s="505"/>
      <c r="F946" s="505"/>
      <c r="G946" s="505"/>
      <c r="H946" s="505"/>
      <c r="I946" s="505"/>
      <c r="J946" s="505"/>
      <c r="K946" s="502"/>
      <c r="L946" s="508"/>
      <c r="M946" s="508"/>
      <c r="N946" s="508"/>
      <c r="O946" s="508"/>
      <c r="P946" s="508"/>
      <c r="Q946" s="508"/>
      <c r="R946" s="508"/>
      <c r="S946" s="508"/>
      <c r="T946" s="508"/>
      <c r="U946" s="508"/>
      <c r="V946" s="508"/>
      <c r="W946" s="508"/>
      <c r="X946" s="522"/>
      <c r="Y946" s="522"/>
    </row>
    <row r="947" spans="1:25" s="174" customFormat="1" ht="22.5" customHeight="1" thickTop="1" thickBot="1" x14ac:dyDescent="0.3">
      <c r="A947" s="425"/>
      <c r="B947" s="505"/>
      <c r="C947" s="505"/>
      <c r="D947" s="505"/>
      <c r="E947" s="505"/>
      <c r="F947" s="505"/>
      <c r="G947" s="505"/>
      <c r="H947" s="505"/>
      <c r="I947" s="505"/>
      <c r="J947" s="505"/>
      <c r="K947" s="502"/>
      <c r="L947" s="508"/>
      <c r="M947" s="508"/>
      <c r="N947" s="508"/>
      <c r="O947" s="508"/>
      <c r="P947" s="508"/>
      <c r="Q947" s="508"/>
      <c r="R947" s="508"/>
      <c r="S947" s="508"/>
      <c r="T947" s="508"/>
      <c r="U947" s="508"/>
      <c r="V947" s="508"/>
      <c r="W947" s="508"/>
      <c r="X947" s="522"/>
      <c r="Y947" s="522"/>
    </row>
    <row r="948" spans="1:25" s="174" customFormat="1" ht="22.5" customHeight="1" thickTop="1" thickBot="1" x14ac:dyDescent="0.3">
      <c r="A948" s="425"/>
      <c r="B948" s="505"/>
      <c r="C948" s="505"/>
      <c r="D948" s="505"/>
      <c r="E948" s="505"/>
      <c r="F948" s="505"/>
      <c r="G948" s="505"/>
      <c r="H948" s="505"/>
      <c r="I948" s="505"/>
      <c r="J948" s="505"/>
      <c r="K948" s="502"/>
      <c r="L948" s="508"/>
      <c r="M948" s="508"/>
      <c r="N948" s="508"/>
      <c r="O948" s="508"/>
      <c r="P948" s="508"/>
      <c r="Q948" s="508"/>
      <c r="R948" s="508"/>
      <c r="S948" s="508"/>
      <c r="T948" s="508"/>
      <c r="U948" s="508"/>
      <c r="V948" s="508"/>
      <c r="W948" s="508"/>
      <c r="X948" s="522"/>
      <c r="Y948" s="522"/>
    </row>
    <row r="949" spans="1:25" s="174" customFormat="1" ht="22.5" customHeight="1" thickTop="1" thickBot="1" x14ac:dyDescent="0.3">
      <c r="A949" s="425"/>
      <c r="B949" s="505"/>
      <c r="C949" s="505"/>
      <c r="D949" s="505"/>
      <c r="E949" s="505"/>
      <c r="F949" s="505"/>
      <c r="G949" s="505"/>
      <c r="H949" s="519"/>
      <c r="I949" s="519"/>
      <c r="J949" s="519"/>
      <c r="K949" s="501"/>
      <c r="L949" s="510"/>
      <c r="M949" s="510"/>
      <c r="N949" s="510"/>
      <c r="O949" s="510"/>
      <c r="P949" s="510"/>
      <c r="Q949" s="510"/>
      <c r="R949" s="510"/>
      <c r="S949" s="510"/>
      <c r="T949" s="510"/>
      <c r="U949" s="510"/>
      <c r="V949" s="510"/>
      <c r="W949" s="510"/>
      <c r="X949" s="522"/>
      <c r="Y949" s="522"/>
    </row>
    <row r="950" spans="1:25" s="174" customFormat="1" ht="22.5" customHeight="1" thickTop="1" thickBot="1" x14ac:dyDescent="0.3">
      <c r="A950" s="425"/>
      <c r="B950" s="505"/>
      <c r="C950" s="505"/>
      <c r="D950" s="505"/>
      <c r="E950" s="505"/>
      <c r="F950" s="505"/>
      <c r="G950" s="505"/>
      <c r="H950" s="505"/>
      <c r="I950" s="505"/>
      <c r="J950" s="505"/>
      <c r="K950" s="502"/>
      <c r="L950" s="508"/>
      <c r="M950" s="508"/>
      <c r="N950" s="508"/>
      <c r="O950" s="508"/>
      <c r="P950" s="508"/>
      <c r="Q950" s="508"/>
      <c r="R950" s="508"/>
      <c r="S950" s="508"/>
      <c r="T950" s="508"/>
      <c r="U950" s="508"/>
      <c r="V950" s="508"/>
      <c r="W950" s="508"/>
      <c r="X950" s="522"/>
      <c r="Y950" s="522"/>
    </row>
    <row r="951" spans="1:25" s="174" customFormat="1" ht="22.5" customHeight="1" thickTop="1" thickBot="1" x14ac:dyDescent="0.3">
      <c r="A951" s="425"/>
      <c r="B951" s="505"/>
      <c r="C951" s="505"/>
      <c r="D951" s="505"/>
      <c r="E951" s="505"/>
      <c r="F951" s="505"/>
      <c r="G951" s="505"/>
      <c r="H951" s="505"/>
      <c r="I951" s="505"/>
      <c r="J951" s="505"/>
      <c r="K951" s="502"/>
      <c r="L951" s="508"/>
      <c r="M951" s="508"/>
      <c r="N951" s="508"/>
      <c r="O951" s="508"/>
      <c r="P951" s="508"/>
      <c r="Q951" s="508"/>
      <c r="R951" s="508"/>
      <c r="S951" s="508"/>
      <c r="T951" s="508"/>
      <c r="U951" s="508"/>
      <c r="V951" s="508"/>
      <c r="W951" s="508"/>
      <c r="X951" s="522"/>
      <c r="Y951" s="522"/>
    </row>
    <row r="952" spans="1:25" s="174" customFormat="1" ht="22.5" customHeight="1" thickTop="1" thickBot="1" x14ac:dyDescent="0.3">
      <c r="A952" s="425"/>
      <c r="B952" s="505"/>
      <c r="C952" s="505"/>
      <c r="D952" s="505"/>
      <c r="E952" s="505"/>
      <c r="F952" s="505"/>
      <c r="G952" s="505"/>
      <c r="H952" s="505"/>
      <c r="I952" s="505"/>
      <c r="J952" s="505"/>
      <c r="K952" s="502"/>
      <c r="L952" s="508"/>
      <c r="M952" s="508"/>
      <c r="N952" s="508"/>
      <c r="O952" s="508"/>
      <c r="P952" s="508"/>
      <c r="Q952" s="508"/>
      <c r="R952" s="508"/>
      <c r="S952" s="508"/>
      <c r="T952" s="508"/>
      <c r="U952" s="508"/>
      <c r="V952" s="508"/>
      <c r="W952" s="508"/>
      <c r="X952" s="522"/>
      <c r="Y952" s="522"/>
    </row>
    <row r="953" spans="1:25" s="174" customFormat="1" ht="22.5" customHeight="1" thickTop="1" thickBot="1" x14ac:dyDescent="0.3">
      <c r="A953" s="425"/>
      <c r="B953" s="505"/>
      <c r="C953" s="505"/>
      <c r="D953" s="505"/>
      <c r="E953" s="505"/>
      <c r="F953" s="505"/>
      <c r="G953" s="505"/>
      <c r="H953" s="505"/>
      <c r="I953" s="505"/>
      <c r="J953" s="505"/>
      <c r="K953" s="502"/>
      <c r="L953" s="508"/>
      <c r="M953" s="508"/>
      <c r="N953" s="508"/>
      <c r="O953" s="508"/>
      <c r="P953" s="508"/>
      <c r="Q953" s="508"/>
      <c r="R953" s="508"/>
      <c r="S953" s="508"/>
      <c r="T953" s="508"/>
      <c r="U953" s="508"/>
      <c r="V953" s="508"/>
      <c r="W953" s="508"/>
      <c r="X953" s="522"/>
      <c r="Y953" s="522"/>
    </row>
    <row r="954" spans="1:25" s="174" customFormat="1" ht="22.5" customHeight="1" thickTop="1" thickBot="1" x14ac:dyDescent="0.3">
      <c r="A954" s="425"/>
      <c r="B954" s="505"/>
      <c r="C954" s="505"/>
      <c r="D954" s="505"/>
      <c r="E954" s="505"/>
      <c r="F954" s="505"/>
      <c r="G954" s="505"/>
      <c r="H954" s="505"/>
      <c r="I954" s="505"/>
      <c r="J954" s="505"/>
      <c r="K954" s="502"/>
      <c r="L954" s="508"/>
      <c r="M954" s="508"/>
      <c r="N954" s="508"/>
      <c r="O954" s="508"/>
      <c r="P954" s="508"/>
      <c r="Q954" s="508"/>
      <c r="R954" s="508"/>
      <c r="S954" s="508"/>
      <c r="T954" s="508"/>
      <c r="U954" s="508"/>
      <c r="V954" s="508"/>
      <c r="W954" s="508"/>
      <c r="X954" s="522"/>
      <c r="Y954" s="522"/>
    </row>
    <row r="955" spans="1:25" s="174" customFormat="1" ht="22.5" customHeight="1" thickTop="1" thickBot="1" x14ac:dyDescent="0.3">
      <c r="A955" s="425"/>
      <c r="B955" s="505"/>
      <c r="C955" s="505"/>
      <c r="D955" s="505"/>
      <c r="E955" s="505"/>
      <c r="F955" s="505"/>
      <c r="G955" s="505"/>
      <c r="H955" s="505"/>
      <c r="I955" s="505"/>
      <c r="J955" s="505"/>
      <c r="K955" s="502"/>
      <c r="L955" s="508"/>
      <c r="M955" s="508"/>
      <c r="N955" s="508"/>
      <c r="O955" s="508"/>
      <c r="P955" s="508"/>
      <c r="Q955" s="508"/>
      <c r="R955" s="508"/>
      <c r="S955" s="508"/>
      <c r="T955" s="508"/>
      <c r="U955" s="508"/>
      <c r="V955" s="508"/>
      <c r="W955" s="508"/>
      <c r="X955" s="522"/>
      <c r="Y955" s="522"/>
    </row>
    <row r="956" spans="1:25" s="174" customFormat="1" ht="22.5" customHeight="1" thickTop="1" thickBot="1" x14ac:dyDescent="0.3">
      <c r="A956" s="425"/>
      <c r="B956" s="505"/>
      <c r="C956" s="505"/>
      <c r="D956" s="505"/>
      <c r="E956" s="505"/>
      <c r="F956" s="505"/>
      <c r="G956" s="505"/>
      <c r="H956" s="505"/>
      <c r="I956" s="505"/>
      <c r="J956" s="505"/>
      <c r="K956" s="502"/>
      <c r="L956" s="508"/>
      <c r="M956" s="508"/>
      <c r="N956" s="508"/>
      <c r="O956" s="508"/>
      <c r="P956" s="508"/>
      <c r="Q956" s="508"/>
      <c r="R956" s="508"/>
      <c r="S956" s="508"/>
      <c r="T956" s="508"/>
      <c r="U956" s="508"/>
      <c r="V956" s="508"/>
      <c r="W956" s="508"/>
      <c r="X956" s="522"/>
      <c r="Y956" s="522"/>
    </row>
    <row r="957" spans="1:25" s="174" customFormat="1" ht="22.5" customHeight="1" thickTop="1" thickBot="1" x14ac:dyDescent="0.3">
      <c r="A957" s="425"/>
      <c r="B957" s="505"/>
      <c r="C957" s="505"/>
      <c r="D957" s="505"/>
      <c r="E957" s="505"/>
      <c r="F957" s="505"/>
      <c r="G957" s="505"/>
      <c r="H957" s="505"/>
      <c r="I957" s="505"/>
      <c r="J957" s="505"/>
      <c r="K957" s="502"/>
      <c r="L957" s="508"/>
      <c r="M957" s="508"/>
      <c r="N957" s="508"/>
      <c r="O957" s="508"/>
      <c r="P957" s="508"/>
      <c r="Q957" s="508"/>
      <c r="R957" s="508"/>
      <c r="S957" s="508"/>
      <c r="T957" s="508"/>
      <c r="U957" s="508"/>
      <c r="V957" s="508"/>
      <c r="W957" s="508"/>
      <c r="X957" s="522"/>
      <c r="Y957" s="522"/>
    </row>
    <row r="958" spans="1:25" s="174" customFormat="1" ht="22.5" customHeight="1" thickTop="1" thickBot="1" x14ac:dyDescent="0.3">
      <c r="A958" s="425"/>
      <c r="B958" s="505"/>
      <c r="C958" s="505"/>
      <c r="D958" s="505"/>
      <c r="E958" s="505"/>
      <c r="F958" s="505"/>
      <c r="G958" s="505"/>
      <c r="H958" s="505"/>
      <c r="I958" s="505"/>
      <c r="J958" s="505"/>
      <c r="K958" s="502"/>
      <c r="L958" s="508"/>
      <c r="M958" s="508"/>
      <c r="N958" s="508"/>
      <c r="O958" s="508"/>
      <c r="P958" s="508"/>
      <c r="Q958" s="508"/>
      <c r="R958" s="508"/>
      <c r="S958" s="508"/>
      <c r="T958" s="508"/>
      <c r="U958" s="508"/>
      <c r="V958" s="508"/>
      <c r="W958" s="508"/>
      <c r="X958" s="522"/>
      <c r="Y958" s="522"/>
    </row>
    <row r="959" spans="1:25" s="174" customFormat="1" ht="22.5" customHeight="1" thickTop="1" thickBot="1" x14ac:dyDescent="0.3">
      <c r="A959" s="425"/>
      <c r="B959" s="505"/>
      <c r="C959" s="505"/>
      <c r="D959" s="505"/>
      <c r="E959" s="505"/>
      <c r="F959" s="505"/>
      <c r="G959" s="505"/>
      <c r="H959" s="505"/>
      <c r="I959" s="505"/>
      <c r="J959" s="505"/>
      <c r="K959" s="502"/>
      <c r="L959" s="508"/>
      <c r="M959" s="508"/>
      <c r="N959" s="508"/>
      <c r="O959" s="508"/>
      <c r="P959" s="508"/>
      <c r="Q959" s="508"/>
      <c r="R959" s="508"/>
      <c r="S959" s="508"/>
      <c r="T959" s="508"/>
      <c r="U959" s="508"/>
      <c r="V959" s="508"/>
      <c r="W959" s="508"/>
      <c r="X959" s="522"/>
      <c r="Y959" s="522"/>
    </row>
    <row r="960" spans="1:25" s="174" customFormat="1" ht="22.5" customHeight="1" thickTop="1" thickBot="1" x14ac:dyDescent="0.3">
      <c r="A960" s="425"/>
      <c r="B960" s="505"/>
      <c r="C960" s="505"/>
      <c r="D960" s="505"/>
      <c r="E960" s="505"/>
      <c r="F960" s="505"/>
      <c r="G960" s="505"/>
      <c r="H960" s="505"/>
      <c r="I960" s="505"/>
      <c r="J960" s="505"/>
      <c r="K960" s="502"/>
      <c r="L960" s="508"/>
      <c r="M960" s="508"/>
      <c r="N960" s="508"/>
      <c r="O960" s="508"/>
      <c r="P960" s="508"/>
      <c r="Q960" s="508"/>
      <c r="R960" s="508"/>
      <c r="S960" s="508"/>
      <c r="T960" s="508"/>
      <c r="U960" s="508"/>
      <c r="V960" s="508"/>
      <c r="W960" s="508"/>
      <c r="X960" s="522"/>
      <c r="Y960" s="522"/>
    </row>
    <row r="961" spans="1:25" s="174" customFormat="1" ht="22.5" customHeight="1" thickTop="1" thickBot="1" x14ac:dyDescent="0.3">
      <c r="A961" s="425"/>
      <c r="B961" s="505"/>
      <c r="C961" s="505"/>
      <c r="D961" s="505"/>
      <c r="E961" s="505"/>
      <c r="F961" s="505"/>
      <c r="G961" s="505"/>
      <c r="H961" s="505"/>
      <c r="I961" s="505"/>
      <c r="J961" s="505"/>
      <c r="K961" s="502"/>
      <c r="L961" s="508"/>
      <c r="M961" s="508"/>
      <c r="N961" s="508"/>
      <c r="O961" s="508"/>
      <c r="P961" s="508"/>
      <c r="Q961" s="508"/>
      <c r="R961" s="508"/>
      <c r="S961" s="508"/>
      <c r="T961" s="508"/>
      <c r="U961" s="508"/>
      <c r="V961" s="508"/>
      <c r="W961" s="508"/>
      <c r="X961" s="522"/>
      <c r="Y961" s="522"/>
    </row>
    <row r="962" spans="1:25" s="174" customFormat="1" ht="22.5" customHeight="1" thickTop="1" thickBot="1" x14ac:dyDescent="0.3">
      <c r="A962" s="425"/>
      <c r="B962" s="505"/>
      <c r="C962" s="505"/>
      <c r="D962" s="505"/>
      <c r="E962" s="505"/>
      <c r="F962" s="505"/>
      <c r="G962" s="505"/>
      <c r="H962" s="505"/>
      <c r="I962" s="505"/>
      <c r="J962" s="505"/>
      <c r="K962" s="502"/>
      <c r="L962" s="508"/>
      <c r="M962" s="508"/>
      <c r="N962" s="508"/>
      <c r="O962" s="508"/>
      <c r="P962" s="508"/>
      <c r="Q962" s="508"/>
      <c r="R962" s="508"/>
      <c r="S962" s="508"/>
      <c r="T962" s="508"/>
      <c r="U962" s="508"/>
      <c r="V962" s="508"/>
      <c r="W962" s="508"/>
      <c r="X962" s="522"/>
      <c r="Y962" s="522"/>
    </row>
    <row r="963" spans="1:25" s="174" customFormat="1" ht="22.5" customHeight="1" thickTop="1" thickBot="1" x14ac:dyDescent="0.3">
      <c r="A963" s="425"/>
      <c r="B963" s="505"/>
      <c r="C963" s="505"/>
      <c r="D963" s="505"/>
      <c r="E963" s="505"/>
      <c r="F963" s="505"/>
      <c r="G963" s="505"/>
      <c r="H963" s="505"/>
      <c r="I963" s="505"/>
      <c r="J963" s="505"/>
      <c r="K963" s="502"/>
      <c r="L963" s="508"/>
      <c r="M963" s="508"/>
      <c r="N963" s="508"/>
      <c r="O963" s="508"/>
      <c r="P963" s="508"/>
      <c r="Q963" s="508"/>
      <c r="R963" s="508"/>
      <c r="S963" s="508"/>
      <c r="T963" s="508"/>
      <c r="U963" s="508"/>
      <c r="V963" s="508"/>
      <c r="W963" s="508"/>
      <c r="X963" s="522"/>
      <c r="Y963" s="522"/>
    </row>
    <row r="964" spans="1:25" s="174" customFormat="1" ht="22.5" customHeight="1" thickTop="1" thickBot="1" x14ac:dyDescent="0.3">
      <c r="A964" s="425"/>
      <c r="B964" s="505"/>
      <c r="C964" s="505"/>
      <c r="D964" s="505"/>
      <c r="E964" s="505"/>
      <c r="F964" s="505"/>
      <c r="G964" s="505"/>
      <c r="H964" s="505"/>
      <c r="I964" s="505"/>
      <c r="J964" s="505"/>
      <c r="K964" s="502"/>
      <c r="L964" s="508"/>
      <c r="M964" s="508"/>
      <c r="N964" s="508"/>
      <c r="O964" s="508"/>
      <c r="P964" s="508"/>
      <c r="Q964" s="508"/>
      <c r="R964" s="508"/>
      <c r="S964" s="508"/>
      <c r="T964" s="508"/>
      <c r="U964" s="508"/>
      <c r="V964" s="508"/>
      <c r="W964" s="508"/>
      <c r="X964" s="522"/>
      <c r="Y964" s="522"/>
    </row>
    <row r="965" spans="1:25" s="174" customFormat="1" ht="22.5" customHeight="1" thickTop="1" thickBot="1" x14ac:dyDescent="0.3">
      <c r="A965" s="425"/>
      <c r="B965" s="505"/>
      <c r="C965" s="505"/>
      <c r="D965" s="505"/>
      <c r="E965" s="505"/>
      <c r="F965" s="505"/>
      <c r="G965" s="505"/>
      <c r="H965" s="505"/>
      <c r="I965" s="505"/>
      <c r="J965" s="505"/>
      <c r="K965" s="502"/>
      <c r="L965" s="508"/>
      <c r="M965" s="508"/>
      <c r="N965" s="508"/>
      <c r="O965" s="508"/>
      <c r="P965" s="508"/>
      <c r="Q965" s="508"/>
      <c r="R965" s="508"/>
      <c r="S965" s="508"/>
      <c r="T965" s="508"/>
      <c r="U965" s="508"/>
      <c r="V965" s="508"/>
      <c r="W965" s="508"/>
      <c r="X965" s="522"/>
      <c r="Y965" s="522"/>
    </row>
    <row r="966" spans="1:25" s="174" customFormat="1" ht="22.5" customHeight="1" thickTop="1" thickBot="1" x14ac:dyDescent="0.3">
      <c r="A966" s="425"/>
      <c r="B966" s="505"/>
      <c r="C966" s="505"/>
      <c r="D966" s="505"/>
      <c r="E966" s="505"/>
      <c r="F966" s="505"/>
      <c r="G966" s="505"/>
      <c r="H966" s="505"/>
      <c r="I966" s="505"/>
      <c r="J966" s="505"/>
      <c r="K966" s="502"/>
      <c r="L966" s="508"/>
      <c r="M966" s="508"/>
      <c r="N966" s="508"/>
      <c r="O966" s="508"/>
      <c r="P966" s="508"/>
      <c r="Q966" s="508"/>
      <c r="R966" s="508"/>
      <c r="S966" s="508"/>
      <c r="T966" s="508"/>
      <c r="U966" s="508"/>
      <c r="V966" s="508"/>
      <c r="W966" s="508"/>
      <c r="X966" s="522"/>
      <c r="Y966" s="522"/>
    </row>
    <row r="967" spans="1:25" s="174" customFormat="1" ht="22.5" customHeight="1" thickTop="1" thickBot="1" x14ac:dyDescent="0.3">
      <c r="A967" s="425"/>
      <c r="B967" s="505"/>
      <c r="C967" s="505"/>
      <c r="D967" s="505"/>
      <c r="E967" s="505"/>
      <c r="F967" s="505"/>
      <c r="G967" s="505"/>
      <c r="H967" s="505"/>
      <c r="I967" s="505"/>
      <c r="J967" s="505"/>
      <c r="K967" s="502"/>
      <c r="L967" s="508"/>
      <c r="M967" s="508"/>
      <c r="N967" s="508"/>
      <c r="O967" s="508"/>
      <c r="P967" s="508"/>
      <c r="Q967" s="508"/>
      <c r="R967" s="508"/>
      <c r="S967" s="508"/>
      <c r="T967" s="508"/>
      <c r="U967" s="508"/>
      <c r="V967" s="508"/>
      <c r="W967" s="508"/>
      <c r="X967" s="522"/>
      <c r="Y967" s="522"/>
    </row>
    <row r="968" spans="1:25" s="174" customFormat="1" ht="22.5" customHeight="1" thickTop="1" thickBot="1" x14ac:dyDescent="0.3">
      <c r="A968" s="425"/>
      <c r="B968" s="505"/>
      <c r="C968" s="505"/>
      <c r="D968" s="505"/>
      <c r="E968" s="505"/>
      <c r="F968" s="505"/>
      <c r="G968" s="505"/>
      <c r="H968" s="505"/>
      <c r="I968" s="505"/>
      <c r="J968" s="505"/>
      <c r="K968" s="502"/>
      <c r="L968" s="508"/>
      <c r="M968" s="508"/>
      <c r="N968" s="508"/>
      <c r="O968" s="508"/>
      <c r="P968" s="508"/>
      <c r="Q968" s="508"/>
      <c r="R968" s="508"/>
      <c r="S968" s="508"/>
      <c r="T968" s="508"/>
      <c r="U968" s="508"/>
      <c r="V968" s="508"/>
      <c r="W968" s="508"/>
      <c r="X968" s="522"/>
      <c r="Y968" s="522"/>
    </row>
    <row r="969" spans="1:25" s="174" customFormat="1" ht="22.5" customHeight="1" thickTop="1" thickBot="1" x14ac:dyDescent="0.3">
      <c r="A969" s="425"/>
      <c r="B969" s="505"/>
      <c r="C969" s="505"/>
      <c r="D969" s="505"/>
      <c r="E969" s="505"/>
      <c r="F969" s="505"/>
      <c r="G969" s="505"/>
      <c r="H969" s="505"/>
      <c r="I969" s="505"/>
      <c r="J969" s="505"/>
      <c r="K969" s="502"/>
      <c r="L969" s="508"/>
      <c r="M969" s="508"/>
      <c r="N969" s="508"/>
      <c r="O969" s="508"/>
      <c r="P969" s="508"/>
      <c r="Q969" s="508"/>
      <c r="R969" s="508"/>
      <c r="S969" s="508"/>
      <c r="T969" s="508"/>
      <c r="U969" s="508"/>
      <c r="V969" s="508"/>
      <c r="W969" s="508"/>
      <c r="X969" s="522"/>
      <c r="Y969" s="522"/>
    </row>
    <row r="970" spans="1:25" s="174" customFormat="1" ht="22.5" customHeight="1" thickTop="1" thickBot="1" x14ac:dyDescent="0.3">
      <c r="A970" s="425"/>
      <c r="B970" s="505"/>
      <c r="C970" s="505"/>
      <c r="D970" s="505"/>
      <c r="E970" s="505"/>
      <c r="F970" s="505"/>
      <c r="G970" s="505"/>
      <c r="H970" s="505"/>
      <c r="I970" s="505"/>
      <c r="J970" s="505"/>
      <c r="K970" s="502"/>
      <c r="L970" s="508"/>
      <c r="M970" s="508"/>
      <c r="N970" s="508"/>
      <c r="O970" s="508"/>
      <c r="P970" s="508"/>
      <c r="Q970" s="508"/>
      <c r="R970" s="508"/>
      <c r="S970" s="508"/>
      <c r="T970" s="508"/>
      <c r="U970" s="508"/>
      <c r="V970" s="508"/>
      <c r="W970" s="508"/>
      <c r="X970" s="522"/>
      <c r="Y970" s="522"/>
    </row>
    <row r="971" spans="1:25" s="174" customFormat="1" ht="22.5" customHeight="1" thickTop="1" thickBot="1" x14ac:dyDescent="0.3">
      <c r="A971" s="425"/>
      <c r="B971" s="505"/>
      <c r="C971" s="505"/>
      <c r="D971" s="505"/>
      <c r="E971" s="505"/>
      <c r="F971" s="505"/>
      <c r="G971" s="505"/>
      <c r="H971" s="505"/>
      <c r="I971" s="505"/>
      <c r="J971" s="505"/>
      <c r="K971" s="502"/>
      <c r="L971" s="508"/>
      <c r="M971" s="508"/>
      <c r="N971" s="508"/>
      <c r="O971" s="508"/>
      <c r="P971" s="508"/>
      <c r="Q971" s="508"/>
      <c r="R971" s="508"/>
      <c r="S971" s="508"/>
      <c r="T971" s="508"/>
      <c r="U971" s="508"/>
      <c r="V971" s="508"/>
      <c r="W971" s="508"/>
      <c r="X971" s="522"/>
      <c r="Y971" s="522"/>
    </row>
    <row r="972" spans="1:25" s="174" customFormat="1" ht="22.5" customHeight="1" thickTop="1" thickBot="1" x14ac:dyDescent="0.3">
      <c r="A972" s="425"/>
      <c r="B972" s="505"/>
      <c r="C972" s="505"/>
      <c r="D972" s="505"/>
      <c r="E972" s="505"/>
      <c r="F972" s="505"/>
      <c r="G972" s="505"/>
      <c r="H972" s="505"/>
      <c r="I972" s="505"/>
      <c r="J972" s="505"/>
      <c r="K972" s="502"/>
      <c r="L972" s="508"/>
      <c r="M972" s="508"/>
      <c r="N972" s="508"/>
      <c r="O972" s="508"/>
      <c r="P972" s="508"/>
      <c r="Q972" s="508"/>
      <c r="R972" s="508"/>
      <c r="S972" s="508"/>
      <c r="T972" s="508"/>
      <c r="U972" s="508"/>
      <c r="V972" s="508"/>
      <c r="W972" s="508"/>
      <c r="X972" s="522"/>
      <c r="Y972" s="522"/>
    </row>
    <row r="973" spans="1:25" s="174" customFormat="1" ht="22.5" customHeight="1" thickTop="1" thickBot="1" x14ac:dyDescent="0.3">
      <c r="A973" s="425"/>
      <c r="B973" s="505"/>
      <c r="C973" s="505"/>
      <c r="D973" s="505"/>
      <c r="E973" s="505"/>
      <c r="F973" s="505"/>
      <c r="G973" s="505"/>
      <c r="H973" s="505"/>
      <c r="I973" s="505"/>
      <c r="J973" s="505"/>
      <c r="K973" s="502"/>
      <c r="L973" s="508"/>
      <c r="M973" s="508"/>
      <c r="N973" s="508"/>
      <c r="O973" s="508"/>
      <c r="P973" s="508"/>
      <c r="Q973" s="508"/>
      <c r="R973" s="508"/>
      <c r="S973" s="508"/>
      <c r="T973" s="508"/>
      <c r="U973" s="508"/>
      <c r="V973" s="508"/>
      <c r="W973" s="508"/>
      <c r="X973" s="522"/>
      <c r="Y973" s="522"/>
    </row>
    <row r="974" spans="1:25" s="174" customFormat="1" ht="22.5" customHeight="1" thickTop="1" thickBot="1" x14ac:dyDescent="0.3">
      <c r="A974" s="425"/>
      <c r="B974" s="505"/>
      <c r="C974" s="505"/>
      <c r="D974" s="505"/>
      <c r="E974" s="505"/>
      <c r="F974" s="505"/>
      <c r="G974" s="505"/>
      <c r="H974" s="505"/>
      <c r="I974" s="505"/>
      <c r="J974" s="505"/>
      <c r="K974" s="502"/>
      <c r="L974" s="508"/>
      <c r="M974" s="508"/>
      <c r="N974" s="508"/>
      <c r="O974" s="508"/>
      <c r="P974" s="508"/>
      <c r="Q974" s="508"/>
      <c r="R974" s="508"/>
      <c r="S974" s="508"/>
      <c r="T974" s="508"/>
      <c r="U974" s="508"/>
      <c r="V974" s="508"/>
      <c r="W974" s="508"/>
      <c r="X974" s="522"/>
      <c r="Y974" s="522"/>
    </row>
    <row r="975" spans="1:25" s="174" customFormat="1" ht="22.5" customHeight="1" thickTop="1" thickBot="1" x14ac:dyDescent="0.3">
      <c r="A975" s="425"/>
      <c r="B975" s="505"/>
      <c r="C975" s="505"/>
      <c r="D975" s="505"/>
      <c r="E975" s="505"/>
      <c r="F975" s="505"/>
      <c r="G975" s="505"/>
      <c r="H975" s="505"/>
      <c r="I975" s="505"/>
      <c r="J975" s="505"/>
      <c r="K975" s="502"/>
      <c r="L975" s="508"/>
      <c r="M975" s="508"/>
      <c r="N975" s="508"/>
      <c r="O975" s="508"/>
      <c r="P975" s="508"/>
      <c r="Q975" s="508"/>
      <c r="R975" s="508"/>
      <c r="S975" s="508"/>
      <c r="T975" s="508"/>
      <c r="U975" s="508"/>
      <c r="V975" s="508"/>
      <c r="W975" s="508"/>
      <c r="X975" s="522"/>
      <c r="Y975" s="522"/>
    </row>
    <row r="976" spans="1:25" s="174" customFormat="1" ht="22.5" customHeight="1" thickTop="1" thickBot="1" x14ac:dyDescent="0.3">
      <c r="A976" s="425"/>
      <c r="B976" s="505"/>
      <c r="C976" s="505"/>
      <c r="D976" s="505"/>
      <c r="E976" s="505"/>
      <c r="F976" s="505"/>
      <c r="G976" s="505"/>
      <c r="H976" s="505"/>
      <c r="I976" s="505"/>
      <c r="J976" s="505"/>
      <c r="K976" s="502"/>
      <c r="L976" s="508"/>
      <c r="M976" s="508"/>
      <c r="N976" s="508"/>
      <c r="O976" s="508"/>
      <c r="P976" s="508"/>
      <c r="Q976" s="508"/>
      <c r="R976" s="508"/>
      <c r="S976" s="508"/>
      <c r="T976" s="508"/>
      <c r="U976" s="508"/>
      <c r="V976" s="508"/>
      <c r="W976" s="508"/>
      <c r="X976" s="522"/>
      <c r="Y976" s="522"/>
    </row>
    <row r="977" spans="1:25" s="174" customFormat="1" ht="22.5" customHeight="1" thickTop="1" thickBot="1" x14ac:dyDescent="0.3">
      <c r="A977" s="425"/>
      <c r="B977" s="505"/>
      <c r="C977" s="505"/>
      <c r="D977" s="505"/>
      <c r="E977" s="505"/>
      <c r="F977" s="505"/>
      <c r="G977" s="505"/>
      <c r="H977" s="505"/>
      <c r="I977" s="505"/>
      <c r="J977" s="505"/>
      <c r="K977" s="502"/>
      <c r="L977" s="508"/>
      <c r="M977" s="508"/>
      <c r="N977" s="508"/>
      <c r="O977" s="508"/>
      <c r="P977" s="508"/>
      <c r="Q977" s="508"/>
      <c r="R977" s="508"/>
      <c r="S977" s="508"/>
      <c r="T977" s="508"/>
      <c r="U977" s="508"/>
      <c r="V977" s="508"/>
      <c r="W977" s="508"/>
      <c r="X977" s="522"/>
      <c r="Y977" s="522"/>
    </row>
    <row r="978" spans="1:25" s="174" customFormat="1" ht="22.5" customHeight="1" thickTop="1" thickBot="1" x14ac:dyDescent="0.3">
      <c r="A978" s="425"/>
      <c r="B978" s="505"/>
      <c r="C978" s="505"/>
      <c r="D978" s="505"/>
      <c r="E978" s="505"/>
      <c r="F978" s="505"/>
      <c r="G978" s="505"/>
      <c r="H978" s="505"/>
      <c r="I978" s="505"/>
      <c r="J978" s="505"/>
      <c r="K978" s="502"/>
      <c r="L978" s="508"/>
      <c r="M978" s="508"/>
      <c r="N978" s="508"/>
      <c r="O978" s="508"/>
      <c r="P978" s="508"/>
      <c r="Q978" s="508"/>
      <c r="R978" s="508"/>
      <c r="S978" s="508"/>
      <c r="T978" s="508"/>
      <c r="U978" s="508"/>
      <c r="V978" s="508"/>
      <c r="W978" s="508"/>
      <c r="X978" s="522"/>
      <c r="Y978" s="522"/>
    </row>
    <row r="979" spans="1:25" s="174" customFormat="1" ht="22.5" customHeight="1" thickTop="1" thickBot="1" x14ac:dyDescent="0.3">
      <c r="A979" s="425"/>
      <c r="B979" s="505"/>
      <c r="C979" s="505"/>
      <c r="D979" s="505"/>
      <c r="E979" s="505"/>
      <c r="F979" s="505"/>
      <c r="G979" s="505"/>
      <c r="H979" s="505"/>
      <c r="I979" s="505"/>
      <c r="J979" s="505"/>
      <c r="K979" s="502"/>
      <c r="L979" s="508"/>
      <c r="M979" s="508"/>
      <c r="N979" s="508"/>
      <c r="O979" s="508"/>
      <c r="P979" s="508"/>
      <c r="Q979" s="508"/>
      <c r="R979" s="508"/>
      <c r="S979" s="508"/>
      <c r="T979" s="508"/>
      <c r="U979" s="508"/>
      <c r="V979" s="508"/>
      <c r="W979" s="508"/>
      <c r="X979" s="522"/>
      <c r="Y979" s="522"/>
    </row>
    <row r="980" spans="1:25" s="174" customFormat="1" ht="22.5" customHeight="1" thickTop="1" thickBot="1" x14ac:dyDescent="0.3">
      <c r="A980" s="425"/>
      <c r="B980" s="505"/>
      <c r="C980" s="505"/>
      <c r="D980" s="505"/>
      <c r="E980" s="505"/>
      <c r="F980" s="505"/>
      <c r="G980" s="505"/>
      <c r="H980" s="505"/>
      <c r="I980" s="505"/>
      <c r="J980" s="505"/>
      <c r="K980" s="502"/>
      <c r="L980" s="508"/>
      <c r="M980" s="508"/>
      <c r="N980" s="508"/>
      <c r="O980" s="508"/>
      <c r="P980" s="508"/>
      <c r="Q980" s="508"/>
      <c r="R980" s="508"/>
      <c r="S980" s="508"/>
      <c r="T980" s="508"/>
      <c r="U980" s="508"/>
      <c r="V980" s="508"/>
      <c r="W980" s="508"/>
      <c r="X980" s="522"/>
      <c r="Y980" s="522"/>
    </row>
    <row r="981" spans="1:25" s="174" customFormat="1" ht="22.5" customHeight="1" thickTop="1" thickBot="1" x14ac:dyDescent="0.3">
      <c r="A981" s="425"/>
      <c r="B981" s="505"/>
      <c r="C981" s="505"/>
      <c r="D981" s="505"/>
      <c r="E981" s="505"/>
      <c r="F981" s="505"/>
      <c r="G981" s="505"/>
      <c r="H981" s="505"/>
      <c r="I981" s="505"/>
      <c r="J981" s="505"/>
      <c r="K981" s="502"/>
      <c r="L981" s="508"/>
      <c r="M981" s="508"/>
      <c r="N981" s="508"/>
      <c r="O981" s="508"/>
      <c r="P981" s="508"/>
      <c r="Q981" s="508"/>
      <c r="R981" s="508"/>
      <c r="S981" s="508"/>
      <c r="T981" s="508"/>
      <c r="U981" s="508"/>
      <c r="V981" s="508"/>
      <c r="W981" s="508"/>
      <c r="X981" s="522"/>
      <c r="Y981" s="522"/>
    </row>
    <row r="982" spans="1:25" s="174" customFormat="1" ht="22.5" customHeight="1" thickTop="1" thickBot="1" x14ac:dyDescent="0.3">
      <c r="A982" s="425"/>
      <c r="B982" s="505"/>
      <c r="C982" s="505"/>
      <c r="D982" s="505"/>
      <c r="E982" s="505"/>
      <c r="F982" s="505"/>
      <c r="G982" s="505"/>
      <c r="H982" s="505"/>
      <c r="I982" s="505"/>
      <c r="J982" s="505"/>
      <c r="K982" s="502"/>
      <c r="L982" s="508"/>
      <c r="M982" s="508"/>
      <c r="N982" s="508"/>
      <c r="O982" s="508"/>
      <c r="P982" s="508"/>
      <c r="Q982" s="508"/>
      <c r="R982" s="508"/>
      <c r="S982" s="508"/>
      <c r="T982" s="508"/>
      <c r="U982" s="508"/>
      <c r="V982" s="508"/>
      <c r="W982" s="508"/>
      <c r="X982" s="522"/>
      <c r="Y982" s="522"/>
    </row>
    <row r="983" spans="1:25" s="174" customFormat="1" ht="22.5" customHeight="1" thickTop="1" thickBot="1" x14ac:dyDescent="0.3">
      <c r="A983" s="425"/>
      <c r="B983" s="505"/>
      <c r="C983" s="505"/>
      <c r="D983" s="505"/>
      <c r="E983" s="505"/>
      <c r="F983" s="505"/>
      <c r="G983" s="505"/>
      <c r="H983" s="505"/>
      <c r="I983" s="505"/>
      <c r="J983" s="505"/>
      <c r="K983" s="502"/>
      <c r="L983" s="508"/>
      <c r="M983" s="508"/>
      <c r="N983" s="508"/>
      <c r="O983" s="508"/>
      <c r="P983" s="508"/>
      <c r="Q983" s="508"/>
      <c r="R983" s="508"/>
      <c r="S983" s="508"/>
      <c r="T983" s="508"/>
      <c r="U983" s="508"/>
      <c r="V983" s="508"/>
      <c r="W983" s="508"/>
      <c r="X983" s="522"/>
      <c r="Y983" s="522"/>
    </row>
    <row r="984" spans="1:25" s="174" customFormat="1" ht="22.5" customHeight="1" thickTop="1" thickBot="1" x14ac:dyDescent="0.3">
      <c r="A984" s="425"/>
      <c r="B984" s="505"/>
      <c r="C984" s="505"/>
      <c r="D984" s="505"/>
      <c r="E984" s="505"/>
      <c r="F984" s="505"/>
      <c r="G984" s="505"/>
      <c r="H984" s="505"/>
      <c r="I984" s="505"/>
      <c r="J984" s="505"/>
      <c r="K984" s="502"/>
      <c r="L984" s="508"/>
      <c r="M984" s="508"/>
      <c r="N984" s="508"/>
      <c r="O984" s="508"/>
      <c r="P984" s="508"/>
      <c r="Q984" s="508"/>
      <c r="R984" s="508"/>
      <c r="S984" s="508"/>
      <c r="T984" s="508"/>
      <c r="U984" s="508"/>
      <c r="V984" s="508"/>
      <c r="W984" s="508"/>
      <c r="X984" s="522"/>
      <c r="Y984" s="522"/>
    </row>
    <row r="985" spans="1:25" s="174" customFormat="1" ht="22.5" customHeight="1" thickTop="1" thickBot="1" x14ac:dyDescent="0.3">
      <c r="A985" s="425"/>
      <c r="B985" s="505"/>
      <c r="C985" s="505"/>
      <c r="D985" s="505"/>
      <c r="E985" s="505"/>
      <c r="F985" s="505"/>
      <c r="G985" s="505"/>
      <c r="H985" s="505"/>
      <c r="I985" s="505"/>
      <c r="J985" s="505"/>
      <c r="K985" s="502"/>
      <c r="L985" s="508"/>
      <c r="M985" s="508"/>
      <c r="N985" s="508"/>
      <c r="O985" s="508"/>
      <c r="P985" s="508"/>
      <c r="Q985" s="508"/>
      <c r="R985" s="508"/>
      <c r="S985" s="508"/>
      <c r="T985" s="508"/>
      <c r="U985" s="508"/>
      <c r="V985" s="508"/>
      <c r="W985" s="508"/>
      <c r="X985" s="522"/>
      <c r="Y985" s="522"/>
    </row>
    <row r="986" spans="1:25" s="174" customFormat="1" ht="22.5" customHeight="1" thickTop="1" thickBot="1" x14ac:dyDescent="0.3">
      <c r="A986" s="425"/>
      <c r="B986" s="505"/>
      <c r="C986" s="505"/>
      <c r="D986" s="505"/>
      <c r="E986" s="505"/>
      <c r="F986" s="505"/>
      <c r="G986" s="505"/>
      <c r="H986" s="519"/>
      <c r="I986" s="519"/>
      <c r="J986" s="519"/>
      <c r="K986" s="501"/>
      <c r="L986" s="510"/>
      <c r="M986" s="510"/>
      <c r="N986" s="510"/>
      <c r="O986" s="510"/>
      <c r="P986" s="510"/>
      <c r="Q986" s="510"/>
      <c r="R986" s="510"/>
      <c r="S986" s="510"/>
      <c r="T986" s="510"/>
      <c r="U986" s="510"/>
      <c r="V986" s="510"/>
      <c r="W986" s="510"/>
      <c r="X986" s="522"/>
      <c r="Y986" s="522"/>
    </row>
    <row r="987" spans="1:25" s="174" customFormat="1" ht="22.5" customHeight="1" thickTop="1" thickBot="1" x14ac:dyDescent="0.3">
      <c r="A987" s="425"/>
      <c r="B987" s="505"/>
      <c r="C987" s="505"/>
      <c r="D987" s="505"/>
      <c r="E987" s="505"/>
      <c r="F987" s="505"/>
      <c r="G987" s="505"/>
      <c r="H987" s="519"/>
      <c r="I987" s="519"/>
      <c r="J987" s="519"/>
      <c r="K987" s="501"/>
      <c r="L987" s="510"/>
      <c r="M987" s="510"/>
      <c r="N987" s="510"/>
      <c r="O987" s="510"/>
      <c r="P987" s="510"/>
      <c r="Q987" s="510"/>
      <c r="R987" s="510"/>
      <c r="S987" s="510"/>
      <c r="T987" s="510"/>
      <c r="U987" s="510"/>
      <c r="V987" s="510"/>
      <c r="W987" s="510"/>
      <c r="X987" s="522"/>
      <c r="Y987" s="522"/>
    </row>
    <row r="988" spans="1:25" s="174" customFormat="1" ht="22.5" customHeight="1" thickTop="1" thickBot="1" x14ac:dyDescent="0.3">
      <c r="A988" s="425"/>
      <c r="B988" s="505"/>
      <c r="C988" s="505"/>
      <c r="D988" s="505"/>
      <c r="E988" s="505"/>
      <c r="F988" s="505"/>
      <c r="G988" s="505"/>
      <c r="H988" s="505"/>
      <c r="I988" s="505"/>
      <c r="J988" s="505"/>
      <c r="K988" s="502"/>
      <c r="L988" s="508"/>
      <c r="M988" s="508"/>
      <c r="N988" s="508"/>
      <c r="O988" s="508"/>
      <c r="P988" s="508"/>
      <c r="Q988" s="508"/>
      <c r="R988" s="508"/>
      <c r="S988" s="508"/>
      <c r="T988" s="508"/>
      <c r="U988" s="508"/>
      <c r="V988" s="508"/>
      <c r="W988" s="508"/>
      <c r="X988" s="522"/>
      <c r="Y988" s="522"/>
    </row>
    <row r="989" spans="1:25" s="174" customFormat="1" ht="22.5" customHeight="1" thickTop="1" thickBot="1" x14ac:dyDescent="0.3">
      <c r="A989" s="425"/>
      <c r="B989" s="505"/>
      <c r="C989" s="505"/>
      <c r="D989" s="505"/>
      <c r="E989" s="505"/>
      <c r="F989" s="505"/>
      <c r="G989" s="505"/>
      <c r="H989" s="505"/>
      <c r="I989" s="505"/>
      <c r="J989" s="505"/>
      <c r="K989" s="502"/>
      <c r="L989" s="508"/>
      <c r="M989" s="508"/>
      <c r="N989" s="508"/>
      <c r="O989" s="508"/>
      <c r="P989" s="508"/>
      <c r="Q989" s="508"/>
      <c r="R989" s="508"/>
      <c r="S989" s="508"/>
      <c r="T989" s="508"/>
      <c r="U989" s="508"/>
      <c r="V989" s="508"/>
      <c r="W989" s="508"/>
      <c r="X989" s="522"/>
      <c r="Y989" s="522"/>
    </row>
    <row r="990" spans="1:25" s="174" customFormat="1" ht="22.5" customHeight="1" thickTop="1" thickBot="1" x14ac:dyDescent="0.3">
      <c r="A990" s="425"/>
      <c r="B990" s="505"/>
      <c r="C990" s="505"/>
      <c r="D990" s="505"/>
      <c r="E990" s="505"/>
      <c r="F990" s="505"/>
      <c r="G990" s="505"/>
      <c r="H990" s="505"/>
      <c r="I990" s="505"/>
      <c r="J990" s="505"/>
      <c r="K990" s="502"/>
      <c r="L990" s="508"/>
      <c r="M990" s="508"/>
      <c r="N990" s="508"/>
      <c r="O990" s="508"/>
      <c r="P990" s="508"/>
      <c r="Q990" s="508"/>
      <c r="R990" s="508"/>
      <c r="S990" s="508"/>
      <c r="T990" s="508"/>
      <c r="U990" s="508"/>
      <c r="V990" s="508"/>
      <c r="W990" s="508"/>
      <c r="X990" s="522"/>
      <c r="Y990" s="522"/>
    </row>
    <row r="991" spans="1:25" s="174" customFormat="1" ht="22.5" customHeight="1" thickTop="1" thickBot="1" x14ac:dyDescent="0.3">
      <c r="A991" s="425"/>
      <c r="B991" s="505"/>
      <c r="C991" s="505"/>
      <c r="D991" s="505"/>
      <c r="E991" s="505"/>
      <c r="F991" s="505"/>
      <c r="G991" s="505"/>
      <c r="H991" s="505"/>
      <c r="I991" s="505"/>
      <c r="J991" s="505"/>
      <c r="K991" s="502"/>
      <c r="L991" s="508"/>
      <c r="M991" s="508"/>
      <c r="N991" s="508"/>
      <c r="O991" s="508"/>
      <c r="P991" s="508"/>
      <c r="Q991" s="508"/>
      <c r="R991" s="508"/>
      <c r="S991" s="508"/>
      <c r="T991" s="508"/>
      <c r="U991" s="508"/>
      <c r="V991" s="508"/>
      <c r="W991" s="508"/>
      <c r="X991" s="522"/>
      <c r="Y991" s="522"/>
    </row>
    <row r="992" spans="1:25" s="174" customFormat="1" ht="22.5" customHeight="1" thickTop="1" thickBot="1" x14ac:dyDescent="0.3">
      <c r="A992" s="425"/>
      <c r="B992" s="505"/>
      <c r="C992" s="505"/>
      <c r="D992" s="505"/>
      <c r="E992" s="505"/>
      <c r="F992" s="505"/>
      <c r="G992" s="505"/>
      <c r="H992" s="505"/>
      <c r="I992" s="505"/>
      <c r="J992" s="505"/>
      <c r="K992" s="502"/>
      <c r="L992" s="508"/>
      <c r="M992" s="508"/>
      <c r="N992" s="508"/>
      <c r="O992" s="508"/>
      <c r="P992" s="508"/>
      <c r="Q992" s="508"/>
      <c r="R992" s="508"/>
      <c r="S992" s="508"/>
      <c r="T992" s="508"/>
      <c r="U992" s="508"/>
      <c r="V992" s="508"/>
      <c r="W992" s="508"/>
      <c r="X992" s="522"/>
      <c r="Y992" s="522"/>
    </row>
    <row r="993" spans="1:25" s="174" customFormat="1" ht="22.5" customHeight="1" thickTop="1" thickBot="1" x14ac:dyDescent="0.3">
      <c r="A993" s="425"/>
      <c r="B993" s="505"/>
      <c r="C993" s="505"/>
      <c r="D993" s="505"/>
      <c r="E993" s="505"/>
      <c r="F993" s="505"/>
      <c r="G993" s="505"/>
      <c r="H993" s="505"/>
      <c r="I993" s="505"/>
      <c r="J993" s="505"/>
      <c r="K993" s="502"/>
      <c r="L993" s="508"/>
      <c r="M993" s="508"/>
      <c r="N993" s="508"/>
      <c r="O993" s="508"/>
      <c r="P993" s="508"/>
      <c r="Q993" s="508"/>
      <c r="R993" s="508"/>
      <c r="S993" s="508"/>
      <c r="T993" s="508"/>
      <c r="U993" s="508"/>
      <c r="V993" s="508"/>
      <c r="W993" s="508"/>
      <c r="X993" s="522"/>
      <c r="Y993" s="522"/>
    </row>
    <row r="994" spans="1:25" s="174" customFormat="1" ht="22.5" customHeight="1" thickTop="1" thickBot="1" x14ac:dyDescent="0.3">
      <c r="A994" s="425"/>
      <c r="B994" s="505"/>
      <c r="C994" s="505"/>
      <c r="D994" s="505"/>
      <c r="E994" s="505"/>
      <c r="F994" s="505"/>
      <c r="G994" s="505"/>
      <c r="H994" s="505"/>
      <c r="I994" s="505"/>
      <c r="J994" s="505"/>
      <c r="K994" s="502"/>
      <c r="L994" s="508"/>
      <c r="M994" s="508"/>
      <c r="N994" s="508"/>
      <c r="O994" s="508"/>
      <c r="P994" s="508"/>
      <c r="Q994" s="508"/>
      <c r="R994" s="508"/>
      <c r="S994" s="508"/>
      <c r="T994" s="508"/>
      <c r="U994" s="508"/>
      <c r="V994" s="508"/>
      <c r="W994" s="508"/>
      <c r="X994" s="522"/>
      <c r="Y994" s="522"/>
    </row>
    <row r="995" spans="1:25" s="174" customFormat="1" ht="22.5" customHeight="1" thickTop="1" thickBot="1" x14ac:dyDescent="0.3">
      <c r="A995" s="425"/>
      <c r="B995" s="505"/>
      <c r="C995" s="505"/>
      <c r="D995" s="505"/>
      <c r="E995" s="505"/>
      <c r="F995" s="505"/>
      <c r="G995" s="505"/>
      <c r="H995" s="505"/>
      <c r="I995" s="505"/>
      <c r="J995" s="505"/>
      <c r="K995" s="502"/>
      <c r="L995" s="508"/>
      <c r="M995" s="508"/>
      <c r="N995" s="508"/>
      <c r="O995" s="508"/>
      <c r="P995" s="508"/>
      <c r="Q995" s="508"/>
      <c r="R995" s="508"/>
      <c r="S995" s="508"/>
      <c r="T995" s="508"/>
      <c r="U995" s="508"/>
      <c r="V995" s="508"/>
      <c r="W995" s="508"/>
      <c r="X995" s="522"/>
      <c r="Y995" s="522"/>
    </row>
    <row r="996" spans="1:25" s="174" customFormat="1" ht="22.5" customHeight="1" thickTop="1" thickBot="1" x14ac:dyDescent="0.3">
      <c r="A996" s="425"/>
      <c r="B996" s="505"/>
      <c r="C996" s="505"/>
      <c r="D996" s="505"/>
      <c r="E996" s="505"/>
      <c r="F996" s="505"/>
      <c r="G996" s="505"/>
      <c r="H996" s="505"/>
      <c r="I996" s="505"/>
      <c r="J996" s="505"/>
      <c r="K996" s="502"/>
      <c r="L996" s="508"/>
      <c r="M996" s="508"/>
      <c r="N996" s="508"/>
      <c r="O996" s="508"/>
      <c r="P996" s="508"/>
      <c r="Q996" s="508"/>
      <c r="R996" s="508"/>
      <c r="S996" s="508"/>
      <c r="T996" s="508"/>
      <c r="U996" s="508"/>
      <c r="V996" s="508"/>
      <c r="W996" s="508"/>
      <c r="X996" s="522"/>
      <c r="Y996" s="522"/>
    </row>
    <row r="997" spans="1:25" s="174" customFormat="1" ht="22.5" customHeight="1" thickTop="1" thickBot="1" x14ac:dyDescent="0.3">
      <c r="A997" s="425"/>
      <c r="B997" s="505"/>
      <c r="C997" s="505"/>
      <c r="D997" s="505"/>
      <c r="E997" s="505"/>
      <c r="F997" s="505"/>
      <c r="G997" s="505"/>
      <c r="H997" s="505"/>
      <c r="I997" s="505"/>
      <c r="J997" s="505"/>
      <c r="K997" s="502"/>
      <c r="L997" s="508"/>
      <c r="M997" s="508"/>
      <c r="N997" s="508"/>
      <c r="O997" s="508"/>
      <c r="P997" s="508"/>
      <c r="Q997" s="508"/>
      <c r="R997" s="508"/>
      <c r="S997" s="508"/>
      <c r="T997" s="508"/>
      <c r="U997" s="508"/>
      <c r="V997" s="508"/>
      <c r="W997" s="508"/>
      <c r="X997" s="522"/>
      <c r="Y997" s="522"/>
    </row>
    <row r="998" spans="1:25" s="174" customFormat="1" ht="22.5" customHeight="1" thickTop="1" thickBot="1" x14ac:dyDescent="0.3">
      <c r="A998" s="425"/>
      <c r="B998" s="505"/>
      <c r="C998" s="505"/>
      <c r="D998" s="505"/>
      <c r="E998" s="505"/>
      <c r="F998" s="505"/>
      <c r="G998" s="505"/>
      <c r="H998" s="505"/>
      <c r="I998" s="505"/>
      <c r="J998" s="505"/>
      <c r="K998" s="502"/>
      <c r="L998" s="508"/>
      <c r="M998" s="508"/>
      <c r="N998" s="508"/>
      <c r="O998" s="508"/>
      <c r="P998" s="508"/>
      <c r="Q998" s="508"/>
      <c r="R998" s="508"/>
      <c r="S998" s="508"/>
      <c r="T998" s="508"/>
      <c r="U998" s="508"/>
      <c r="V998" s="508"/>
      <c r="W998" s="508"/>
      <c r="X998" s="522"/>
      <c r="Y998" s="522"/>
    </row>
    <row r="999" spans="1:25" s="174" customFormat="1" ht="22.5" customHeight="1" thickTop="1" thickBot="1" x14ac:dyDescent="0.3">
      <c r="A999" s="425"/>
      <c r="B999" s="505"/>
      <c r="C999" s="505"/>
      <c r="D999" s="505"/>
      <c r="E999" s="505"/>
      <c r="F999" s="505"/>
      <c r="G999" s="505"/>
      <c r="H999" s="519"/>
      <c r="I999" s="519"/>
      <c r="J999" s="519"/>
      <c r="K999" s="501"/>
      <c r="L999" s="510"/>
      <c r="M999" s="510"/>
      <c r="N999" s="510"/>
      <c r="O999" s="510"/>
      <c r="P999" s="510"/>
      <c r="Q999" s="510"/>
      <c r="R999" s="510"/>
      <c r="S999" s="510"/>
      <c r="T999" s="510"/>
      <c r="U999" s="510"/>
      <c r="V999" s="510"/>
      <c r="W999" s="510"/>
      <c r="X999" s="522"/>
      <c r="Y999" s="522"/>
    </row>
    <row r="1000" spans="1:25" s="174" customFormat="1" ht="22.5" customHeight="1" thickTop="1" thickBot="1" x14ac:dyDescent="0.3">
      <c r="A1000" s="425"/>
      <c r="B1000" s="505"/>
      <c r="C1000" s="505"/>
      <c r="D1000" s="505"/>
      <c r="E1000" s="505"/>
      <c r="F1000" s="505"/>
      <c r="G1000" s="505"/>
      <c r="H1000" s="505"/>
      <c r="I1000" s="505"/>
      <c r="J1000" s="505"/>
      <c r="K1000" s="502"/>
      <c r="L1000" s="508"/>
      <c r="M1000" s="508"/>
      <c r="N1000" s="508"/>
      <c r="O1000" s="508"/>
      <c r="P1000" s="508"/>
      <c r="Q1000" s="508"/>
      <c r="R1000" s="508"/>
      <c r="S1000" s="508"/>
      <c r="T1000" s="508"/>
      <c r="U1000" s="508"/>
      <c r="V1000" s="508"/>
      <c r="W1000" s="508"/>
      <c r="X1000" s="522"/>
      <c r="Y1000" s="522"/>
    </row>
    <row r="1001" spans="1:25" s="174" customFormat="1" ht="22.5" customHeight="1" thickTop="1" thickBot="1" x14ac:dyDescent="0.3">
      <c r="A1001" s="425"/>
      <c r="B1001" s="505"/>
      <c r="C1001" s="505"/>
      <c r="D1001" s="505"/>
      <c r="E1001" s="505"/>
      <c r="F1001" s="505"/>
      <c r="G1001" s="505"/>
      <c r="H1001" s="505"/>
      <c r="I1001" s="505"/>
      <c r="J1001" s="505"/>
      <c r="K1001" s="502"/>
      <c r="L1001" s="508"/>
      <c r="M1001" s="508"/>
      <c r="N1001" s="508"/>
      <c r="O1001" s="508"/>
      <c r="P1001" s="508"/>
      <c r="Q1001" s="508"/>
      <c r="R1001" s="508"/>
      <c r="S1001" s="508"/>
      <c r="T1001" s="508"/>
      <c r="U1001" s="508"/>
      <c r="V1001" s="508"/>
      <c r="W1001" s="508"/>
      <c r="X1001" s="522"/>
      <c r="Y1001" s="522"/>
    </row>
    <row r="1002" spans="1:25" s="174" customFormat="1" ht="22.5" customHeight="1" thickTop="1" thickBot="1" x14ac:dyDescent="0.3">
      <c r="A1002" s="425"/>
      <c r="B1002" s="505"/>
      <c r="C1002" s="505"/>
      <c r="D1002" s="505"/>
      <c r="E1002" s="505"/>
      <c r="F1002" s="505"/>
      <c r="G1002" s="505"/>
      <c r="H1002" s="505"/>
      <c r="I1002" s="505"/>
      <c r="J1002" s="505"/>
      <c r="K1002" s="502"/>
      <c r="L1002" s="508"/>
      <c r="M1002" s="508"/>
      <c r="N1002" s="508"/>
      <c r="O1002" s="508"/>
      <c r="P1002" s="508"/>
      <c r="Q1002" s="508"/>
      <c r="R1002" s="508"/>
      <c r="S1002" s="508"/>
      <c r="T1002" s="508"/>
      <c r="U1002" s="508"/>
      <c r="V1002" s="508"/>
      <c r="W1002" s="508"/>
      <c r="X1002" s="522"/>
      <c r="Y1002" s="522"/>
    </row>
    <row r="1003" spans="1:25" s="174" customFormat="1" ht="22.5" customHeight="1" thickTop="1" thickBot="1" x14ac:dyDescent="0.3">
      <c r="A1003" s="425"/>
      <c r="B1003" s="505"/>
      <c r="C1003" s="505"/>
      <c r="D1003" s="505"/>
      <c r="E1003" s="505"/>
      <c r="F1003" s="505"/>
      <c r="G1003" s="505"/>
      <c r="H1003" s="505"/>
      <c r="I1003" s="505"/>
      <c r="J1003" s="505"/>
      <c r="K1003" s="502"/>
      <c r="L1003" s="508"/>
      <c r="M1003" s="508"/>
      <c r="N1003" s="508"/>
      <c r="O1003" s="508"/>
      <c r="P1003" s="508"/>
      <c r="Q1003" s="508"/>
      <c r="R1003" s="508"/>
      <c r="S1003" s="508"/>
      <c r="T1003" s="508"/>
      <c r="U1003" s="508"/>
      <c r="V1003" s="508"/>
      <c r="W1003" s="508"/>
      <c r="X1003" s="522"/>
      <c r="Y1003" s="522"/>
    </row>
    <row r="1004" spans="1:25" s="174" customFormat="1" ht="22.5" customHeight="1" thickTop="1" thickBot="1" x14ac:dyDescent="0.3">
      <c r="A1004" s="425"/>
      <c r="B1004" s="505"/>
      <c r="C1004" s="505"/>
      <c r="D1004" s="505"/>
      <c r="E1004" s="505"/>
      <c r="F1004" s="505"/>
      <c r="G1004" s="505"/>
      <c r="H1004" s="505"/>
      <c r="I1004" s="505"/>
      <c r="J1004" s="505"/>
      <c r="K1004" s="502"/>
      <c r="L1004" s="508"/>
      <c r="M1004" s="508"/>
      <c r="N1004" s="508"/>
      <c r="O1004" s="508"/>
      <c r="P1004" s="508"/>
      <c r="Q1004" s="508"/>
      <c r="R1004" s="508"/>
      <c r="S1004" s="508"/>
      <c r="T1004" s="508"/>
      <c r="U1004" s="508"/>
      <c r="V1004" s="508"/>
      <c r="W1004" s="508"/>
      <c r="X1004" s="522"/>
      <c r="Y1004" s="522"/>
    </row>
    <row r="1005" spans="1:25" s="174" customFormat="1" ht="22.5" customHeight="1" thickTop="1" thickBot="1" x14ac:dyDescent="0.3">
      <c r="A1005" s="425"/>
      <c r="B1005" s="505"/>
      <c r="C1005" s="505"/>
      <c r="D1005" s="505"/>
      <c r="E1005" s="505"/>
      <c r="F1005" s="505"/>
      <c r="G1005" s="505"/>
      <c r="H1005" s="505"/>
      <c r="I1005" s="505"/>
      <c r="J1005" s="505"/>
      <c r="K1005" s="502"/>
      <c r="L1005" s="508"/>
      <c r="M1005" s="508"/>
      <c r="N1005" s="508"/>
      <c r="O1005" s="508"/>
      <c r="P1005" s="508"/>
      <c r="Q1005" s="508"/>
      <c r="R1005" s="508"/>
      <c r="S1005" s="508"/>
      <c r="T1005" s="508"/>
      <c r="U1005" s="508"/>
      <c r="V1005" s="508"/>
      <c r="W1005" s="508"/>
      <c r="X1005" s="522"/>
      <c r="Y1005" s="522"/>
    </row>
    <row r="1006" spans="1:25" s="174" customFormat="1" ht="22.5" customHeight="1" thickTop="1" thickBot="1" x14ac:dyDescent="0.3">
      <c r="A1006" s="425"/>
      <c r="B1006" s="505"/>
      <c r="C1006" s="505"/>
      <c r="D1006" s="505"/>
      <c r="E1006" s="505"/>
      <c r="F1006" s="505"/>
      <c r="G1006" s="505"/>
      <c r="H1006" s="505"/>
      <c r="I1006" s="505"/>
      <c r="J1006" s="505"/>
      <c r="K1006" s="502"/>
      <c r="L1006" s="508"/>
      <c r="M1006" s="508"/>
      <c r="N1006" s="508"/>
      <c r="O1006" s="508"/>
      <c r="P1006" s="508"/>
      <c r="Q1006" s="508"/>
      <c r="R1006" s="508"/>
      <c r="S1006" s="508"/>
      <c r="T1006" s="508"/>
      <c r="U1006" s="508"/>
      <c r="V1006" s="508"/>
      <c r="W1006" s="508"/>
      <c r="X1006" s="522"/>
      <c r="Y1006" s="522"/>
    </row>
    <row r="1007" spans="1:25" s="174" customFormat="1" ht="22.5" customHeight="1" thickTop="1" thickBot="1" x14ac:dyDescent="0.3">
      <c r="A1007" s="425"/>
      <c r="B1007" s="505"/>
      <c r="C1007" s="505"/>
      <c r="D1007" s="505"/>
      <c r="E1007" s="505"/>
      <c r="F1007" s="505"/>
      <c r="G1007" s="505"/>
      <c r="H1007" s="505"/>
      <c r="I1007" s="505"/>
      <c r="J1007" s="505"/>
      <c r="K1007" s="502"/>
      <c r="L1007" s="508"/>
      <c r="M1007" s="508"/>
      <c r="N1007" s="508"/>
      <c r="O1007" s="508"/>
      <c r="P1007" s="508"/>
      <c r="Q1007" s="508"/>
      <c r="R1007" s="508"/>
      <c r="S1007" s="508"/>
      <c r="T1007" s="508"/>
      <c r="U1007" s="508"/>
      <c r="V1007" s="508"/>
      <c r="W1007" s="508"/>
      <c r="X1007" s="522"/>
      <c r="Y1007" s="522"/>
    </row>
    <row r="1008" spans="1:25" s="174" customFormat="1" ht="22.5" customHeight="1" thickTop="1" thickBot="1" x14ac:dyDescent="0.3">
      <c r="A1008" s="425"/>
      <c r="B1008" s="505"/>
      <c r="C1008" s="505"/>
      <c r="D1008" s="505"/>
      <c r="E1008" s="505"/>
      <c r="F1008" s="505"/>
      <c r="G1008" s="505"/>
      <c r="H1008" s="505"/>
      <c r="I1008" s="505"/>
      <c r="J1008" s="505"/>
      <c r="K1008" s="502"/>
      <c r="L1008" s="508"/>
      <c r="M1008" s="508"/>
      <c r="N1008" s="508"/>
      <c r="O1008" s="508"/>
      <c r="P1008" s="508"/>
      <c r="Q1008" s="508"/>
      <c r="R1008" s="508"/>
      <c r="S1008" s="508"/>
      <c r="T1008" s="508"/>
      <c r="U1008" s="508"/>
      <c r="V1008" s="508"/>
      <c r="W1008" s="508"/>
      <c r="X1008" s="522"/>
      <c r="Y1008" s="522"/>
    </row>
    <row r="1009" spans="1:25" s="174" customFormat="1" ht="22.5" customHeight="1" thickTop="1" thickBot="1" x14ac:dyDescent="0.3">
      <c r="A1009" s="425"/>
      <c r="B1009" s="505"/>
      <c r="C1009" s="505"/>
      <c r="D1009" s="505"/>
      <c r="E1009" s="505"/>
      <c r="F1009" s="505"/>
      <c r="G1009" s="505"/>
      <c r="H1009" s="505"/>
      <c r="I1009" s="505"/>
      <c r="J1009" s="505"/>
      <c r="K1009" s="502"/>
      <c r="L1009" s="508"/>
      <c r="M1009" s="508"/>
      <c r="N1009" s="508"/>
      <c r="O1009" s="508"/>
      <c r="P1009" s="508"/>
      <c r="Q1009" s="508"/>
      <c r="R1009" s="508"/>
      <c r="S1009" s="508"/>
      <c r="T1009" s="508"/>
      <c r="U1009" s="508"/>
      <c r="V1009" s="508"/>
      <c r="W1009" s="508"/>
      <c r="X1009" s="522"/>
      <c r="Y1009" s="522"/>
    </row>
    <row r="1010" spans="1:25" s="174" customFormat="1" ht="22.5" customHeight="1" thickTop="1" thickBot="1" x14ac:dyDescent="0.3">
      <c r="A1010" s="425"/>
      <c r="B1010" s="505"/>
      <c r="C1010" s="505"/>
      <c r="D1010" s="505"/>
      <c r="E1010" s="505"/>
      <c r="F1010" s="505"/>
      <c r="G1010" s="505"/>
      <c r="H1010" s="505"/>
      <c r="I1010" s="505"/>
      <c r="J1010" s="505"/>
      <c r="K1010" s="502"/>
      <c r="L1010" s="508"/>
      <c r="M1010" s="508"/>
      <c r="N1010" s="508"/>
      <c r="O1010" s="508"/>
      <c r="P1010" s="508"/>
      <c r="Q1010" s="508"/>
      <c r="R1010" s="508"/>
      <c r="S1010" s="508"/>
      <c r="T1010" s="508"/>
      <c r="U1010" s="508"/>
      <c r="V1010" s="508"/>
      <c r="W1010" s="508"/>
      <c r="X1010" s="522"/>
      <c r="Y1010" s="522"/>
    </row>
    <row r="1011" spans="1:25" s="174" customFormat="1" ht="22.5" customHeight="1" thickTop="1" thickBot="1" x14ac:dyDescent="0.3">
      <c r="A1011" s="425"/>
      <c r="B1011" s="505"/>
      <c r="C1011" s="505"/>
      <c r="D1011" s="505"/>
      <c r="E1011" s="505"/>
      <c r="F1011" s="505"/>
      <c r="G1011" s="505"/>
      <c r="H1011" s="505"/>
      <c r="I1011" s="505"/>
      <c r="J1011" s="505"/>
      <c r="K1011" s="502"/>
      <c r="L1011" s="508"/>
      <c r="M1011" s="508"/>
      <c r="N1011" s="508"/>
      <c r="O1011" s="508"/>
      <c r="P1011" s="508"/>
      <c r="Q1011" s="508"/>
      <c r="R1011" s="508"/>
      <c r="S1011" s="508"/>
      <c r="T1011" s="508"/>
      <c r="U1011" s="508"/>
      <c r="V1011" s="508"/>
      <c r="W1011" s="508"/>
      <c r="X1011" s="522"/>
      <c r="Y1011" s="522"/>
    </row>
    <row r="1012" spans="1:25" s="174" customFormat="1" ht="22.5" customHeight="1" thickTop="1" thickBot="1" x14ac:dyDescent="0.3">
      <c r="A1012" s="425"/>
      <c r="B1012" s="505"/>
      <c r="C1012" s="505"/>
      <c r="D1012" s="505"/>
      <c r="E1012" s="505"/>
      <c r="F1012" s="505"/>
      <c r="G1012" s="505"/>
      <c r="H1012" s="505"/>
      <c r="I1012" s="505"/>
      <c r="J1012" s="505"/>
      <c r="K1012" s="502"/>
      <c r="L1012" s="508"/>
      <c r="M1012" s="508"/>
      <c r="N1012" s="508"/>
      <c r="O1012" s="508"/>
      <c r="P1012" s="508"/>
      <c r="Q1012" s="508"/>
      <c r="R1012" s="508"/>
      <c r="S1012" s="508"/>
      <c r="T1012" s="508"/>
      <c r="U1012" s="508"/>
      <c r="V1012" s="508"/>
      <c r="W1012" s="508"/>
      <c r="X1012" s="522"/>
      <c r="Y1012" s="522"/>
    </row>
    <row r="1013" spans="1:25" s="174" customFormat="1" ht="22.5" customHeight="1" thickTop="1" thickBot="1" x14ac:dyDescent="0.3">
      <c r="A1013" s="425"/>
      <c r="B1013" s="505"/>
      <c r="C1013" s="505"/>
      <c r="D1013" s="505"/>
      <c r="E1013" s="505"/>
      <c r="F1013" s="505"/>
      <c r="G1013" s="505"/>
      <c r="H1013" s="505"/>
      <c r="I1013" s="505"/>
      <c r="J1013" s="505"/>
      <c r="K1013" s="502"/>
      <c r="L1013" s="508"/>
      <c r="M1013" s="508"/>
      <c r="N1013" s="508"/>
      <c r="O1013" s="508"/>
      <c r="P1013" s="508"/>
      <c r="Q1013" s="508"/>
      <c r="R1013" s="508"/>
      <c r="S1013" s="508"/>
      <c r="T1013" s="508"/>
      <c r="U1013" s="508"/>
      <c r="V1013" s="508"/>
      <c r="W1013" s="508"/>
      <c r="X1013" s="522"/>
      <c r="Y1013" s="522"/>
    </row>
    <row r="1014" spans="1:25" s="174" customFormat="1" ht="22.5" customHeight="1" thickTop="1" thickBot="1" x14ac:dyDescent="0.3">
      <c r="A1014" s="425"/>
      <c r="B1014" s="505"/>
      <c r="C1014" s="505"/>
      <c r="D1014" s="505"/>
      <c r="E1014" s="505"/>
      <c r="F1014" s="505"/>
      <c r="G1014" s="505"/>
      <c r="H1014" s="505"/>
      <c r="I1014" s="505"/>
      <c r="J1014" s="505"/>
      <c r="K1014" s="502"/>
      <c r="L1014" s="508"/>
      <c r="M1014" s="508"/>
      <c r="N1014" s="508"/>
      <c r="O1014" s="508"/>
      <c r="P1014" s="508"/>
      <c r="Q1014" s="508"/>
      <c r="R1014" s="508"/>
      <c r="S1014" s="508"/>
      <c r="T1014" s="508"/>
      <c r="U1014" s="508"/>
      <c r="V1014" s="508"/>
      <c r="W1014" s="508"/>
      <c r="X1014" s="522"/>
      <c r="Y1014" s="522"/>
    </row>
    <row r="1015" spans="1:25" s="174" customFormat="1" ht="22.5" customHeight="1" thickTop="1" thickBot="1" x14ac:dyDescent="0.3">
      <c r="A1015" s="425"/>
      <c r="B1015" s="505"/>
      <c r="C1015" s="505"/>
      <c r="D1015" s="505"/>
      <c r="E1015" s="505"/>
      <c r="F1015" s="505"/>
      <c r="G1015" s="505"/>
      <c r="H1015" s="505"/>
      <c r="I1015" s="505"/>
      <c r="J1015" s="505"/>
      <c r="K1015" s="502"/>
      <c r="L1015" s="508"/>
      <c r="M1015" s="508"/>
      <c r="N1015" s="508"/>
      <c r="O1015" s="508"/>
      <c r="P1015" s="508"/>
      <c r="Q1015" s="508"/>
      <c r="R1015" s="508"/>
      <c r="S1015" s="508"/>
      <c r="T1015" s="508"/>
      <c r="U1015" s="508"/>
      <c r="V1015" s="508"/>
      <c r="W1015" s="508"/>
      <c r="X1015" s="522"/>
      <c r="Y1015" s="522"/>
    </row>
    <row r="1016" spans="1:25" s="174" customFormat="1" ht="22.5" customHeight="1" thickTop="1" thickBot="1" x14ac:dyDescent="0.3">
      <c r="A1016" s="425"/>
      <c r="B1016" s="505"/>
      <c r="C1016" s="505"/>
      <c r="D1016" s="505"/>
      <c r="E1016" s="505"/>
      <c r="F1016" s="505"/>
      <c r="G1016" s="505"/>
      <c r="H1016" s="505"/>
      <c r="I1016" s="505"/>
      <c r="J1016" s="505"/>
      <c r="K1016" s="502"/>
      <c r="L1016" s="508"/>
      <c r="M1016" s="508"/>
      <c r="N1016" s="508"/>
      <c r="O1016" s="508"/>
      <c r="P1016" s="508"/>
      <c r="Q1016" s="508"/>
      <c r="R1016" s="508"/>
      <c r="S1016" s="508"/>
      <c r="T1016" s="508"/>
      <c r="U1016" s="508"/>
      <c r="V1016" s="508"/>
      <c r="W1016" s="508"/>
      <c r="X1016" s="522"/>
      <c r="Y1016" s="522"/>
    </row>
    <row r="1017" spans="1:25" s="174" customFormat="1" ht="22.5" customHeight="1" thickTop="1" thickBot="1" x14ac:dyDescent="0.3">
      <c r="A1017" s="425"/>
      <c r="B1017" s="505"/>
      <c r="C1017" s="505"/>
      <c r="D1017" s="505"/>
      <c r="E1017" s="505"/>
      <c r="F1017" s="505"/>
      <c r="G1017" s="505"/>
      <c r="H1017" s="505"/>
      <c r="I1017" s="505"/>
      <c r="J1017" s="505"/>
      <c r="K1017" s="502"/>
      <c r="L1017" s="508"/>
      <c r="M1017" s="508"/>
      <c r="N1017" s="508"/>
      <c r="O1017" s="508"/>
      <c r="P1017" s="508"/>
      <c r="Q1017" s="508"/>
      <c r="R1017" s="508"/>
      <c r="S1017" s="508"/>
      <c r="T1017" s="508"/>
      <c r="U1017" s="508"/>
      <c r="V1017" s="508"/>
      <c r="W1017" s="508"/>
      <c r="X1017" s="522"/>
      <c r="Y1017" s="522"/>
    </row>
    <row r="1018" spans="1:25" s="174" customFormat="1" ht="22.5" customHeight="1" thickTop="1" thickBot="1" x14ac:dyDescent="0.3">
      <c r="A1018" s="425"/>
      <c r="B1018" s="505"/>
      <c r="C1018" s="505"/>
      <c r="D1018" s="505"/>
      <c r="E1018" s="505"/>
      <c r="F1018" s="505"/>
      <c r="G1018" s="505"/>
      <c r="H1018" s="505"/>
      <c r="I1018" s="505"/>
      <c r="J1018" s="505"/>
      <c r="K1018" s="502"/>
      <c r="L1018" s="508"/>
      <c r="M1018" s="508"/>
      <c r="N1018" s="508"/>
      <c r="O1018" s="508"/>
      <c r="P1018" s="508"/>
      <c r="Q1018" s="508"/>
      <c r="R1018" s="508"/>
      <c r="S1018" s="508"/>
      <c r="T1018" s="508"/>
      <c r="U1018" s="508"/>
      <c r="V1018" s="508"/>
      <c r="W1018" s="508"/>
      <c r="X1018" s="522"/>
      <c r="Y1018" s="522"/>
    </row>
    <row r="1019" spans="1:25" s="174" customFormat="1" ht="22.5" customHeight="1" thickTop="1" thickBot="1" x14ac:dyDescent="0.3">
      <c r="A1019" s="425"/>
      <c r="B1019" s="505"/>
      <c r="C1019" s="505"/>
      <c r="D1019" s="505"/>
      <c r="E1019" s="505"/>
      <c r="F1019" s="505"/>
      <c r="G1019" s="505"/>
      <c r="H1019" s="505"/>
      <c r="I1019" s="505"/>
      <c r="J1019" s="505"/>
      <c r="K1019" s="502"/>
      <c r="L1019" s="508"/>
      <c r="M1019" s="508"/>
      <c r="N1019" s="508"/>
      <c r="O1019" s="508"/>
      <c r="P1019" s="508"/>
      <c r="Q1019" s="508"/>
      <c r="R1019" s="508"/>
      <c r="S1019" s="508"/>
      <c r="T1019" s="508"/>
      <c r="U1019" s="508"/>
      <c r="V1019" s="508"/>
      <c r="W1019" s="508"/>
      <c r="X1019" s="522"/>
      <c r="Y1019" s="522"/>
    </row>
    <row r="1020" spans="1:25" s="174" customFormat="1" ht="22.5" customHeight="1" thickTop="1" thickBot="1" x14ac:dyDescent="0.3">
      <c r="A1020" s="425"/>
      <c r="B1020" s="505"/>
      <c r="C1020" s="505"/>
      <c r="D1020" s="505"/>
      <c r="E1020" s="505"/>
      <c r="F1020" s="505"/>
      <c r="G1020" s="505"/>
      <c r="H1020" s="505"/>
      <c r="I1020" s="505"/>
      <c r="J1020" s="505"/>
      <c r="K1020" s="502"/>
      <c r="L1020" s="508"/>
      <c r="M1020" s="508"/>
      <c r="N1020" s="508"/>
      <c r="O1020" s="508"/>
      <c r="P1020" s="508"/>
      <c r="Q1020" s="508"/>
      <c r="R1020" s="508"/>
      <c r="S1020" s="508"/>
      <c r="T1020" s="508"/>
      <c r="U1020" s="508"/>
      <c r="V1020" s="508"/>
      <c r="W1020" s="508"/>
      <c r="X1020" s="522"/>
      <c r="Y1020" s="522"/>
    </row>
    <row r="1021" spans="1:25" s="174" customFormat="1" ht="22.5" customHeight="1" thickTop="1" thickBot="1" x14ac:dyDescent="0.3">
      <c r="A1021" s="425"/>
      <c r="B1021" s="505"/>
      <c r="C1021" s="505"/>
      <c r="D1021" s="505"/>
      <c r="E1021" s="505"/>
      <c r="F1021" s="505"/>
      <c r="G1021" s="505"/>
      <c r="H1021" s="505"/>
      <c r="I1021" s="505"/>
      <c r="J1021" s="505"/>
      <c r="K1021" s="502"/>
      <c r="L1021" s="508"/>
      <c r="M1021" s="508"/>
      <c r="N1021" s="508"/>
      <c r="O1021" s="508"/>
      <c r="P1021" s="508"/>
      <c r="Q1021" s="508"/>
      <c r="R1021" s="508"/>
      <c r="S1021" s="508"/>
      <c r="T1021" s="508"/>
      <c r="U1021" s="508"/>
      <c r="V1021" s="508"/>
      <c r="W1021" s="508"/>
      <c r="X1021" s="522"/>
      <c r="Y1021" s="522"/>
    </row>
    <row r="1022" spans="1:25" s="174" customFormat="1" ht="22.5" customHeight="1" thickTop="1" thickBot="1" x14ac:dyDescent="0.3">
      <c r="A1022" s="425"/>
      <c r="B1022" s="505"/>
      <c r="C1022" s="505"/>
      <c r="D1022" s="505"/>
      <c r="E1022" s="505"/>
      <c r="F1022" s="505"/>
      <c r="G1022" s="505"/>
      <c r="H1022" s="505"/>
      <c r="I1022" s="505"/>
      <c r="J1022" s="505"/>
      <c r="K1022" s="502"/>
      <c r="L1022" s="508"/>
      <c r="M1022" s="508"/>
      <c r="N1022" s="508"/>
      <c r="O1022" s="508"/>
      <c r="P1022" s="508"/>
      <c r="Q1022" s="508"/>
      <c r="R1022" s="508"/>
      <c r="S1022" s="508"/>
      <c r="T1022" s="508"/>
      <c r="U1022" s="508"/>
      <c r="V1022" s="508"/>
      <c r="W1022" s="508"/>
      <c r="X1022" s="522"/>
      <c r="Y1022" s="522"/>
    </row>
    <row r="1023" spans="1:25" s="174" customFormat="1" ht="22.5" customHeight="1" thickTop="1" thickBot="1" x14ac:dyDescent="0.3">
      <c r="A1023" s="425"/>
      <c r="B1023" s="505"/>
      <c r="C1023" s="505"/>
      <c r="D1023" s="505"/>
      <c r="E1023" s="505"/>
      <c r="F1023" s="505"/>
      <c r="G1023" s="505"/>
      <c r="H1023" s="505"/>
      <c r="I1023" s="505"/>
      <c r="J1023" s="505"/>
      <c r="K1023" s="502"/>
      <c r="L1023" s="508"/>
      <c r="M1023" s="508"/>
      <c r="N1023" s="508"/>
      <c r="O1023" s="508"/>
      <c r="P1023" s="508"/>
      <c r="Q1023" s="508"/>
      <c r="R1023" s="508"/>
      <c r="S1023" s="508"/>
      <c r="T1023" s="508"/>
      <c r="U1023" s="508"/>
      <c r="V1023" s="508"/>
      <c r="W1023" s="508"/>
      <c r="X1023" s="522"/>
      <c r="Y1023" s="522"/>
    </row>
    <row r="1024" spans="1:25" ht="36" customHeight="1" thickTop="1" thickBot="1" x14ac:dyDescent="0.3">
      <c r="A1024" s="418" t="s">
        <v>216</v>
      </c>
      <c r="B1024" s="418" t="s">
        <v>231</v>
      </c>
      <c r="C1024" s="418"/>
      <c r="D1024" s="418"/>
      <c r="E1024" s="418"/>
      <c r="F1024" s="418"/>
      <c r="G1024" s="418"/>
      <c r="H1024" s="418"/>
      <c r="I1024" s="545"/>
      <c r="J1024" s="545"/>
      <c r="K1024" s="419" t="s">
        <v>728</v>
      </c>
      <c r="L1024" s="509">
        <f>+L1025+L1029</f>
        <v>0</v>
      </c>
      <c r="M1024" s="509">
        <f t="shared" ref="M1024:U1024" si="304">+M1025+M1029</f>
        <v>0</v>
      </c>
      <c r="N1024" s="509">
        <f t="shared" si="304"/>
        <v>0</v>
      </c>
      <c r="O1024" s="509">
        <f t="shared" ref="O1024:O1043" si="305">L1024+M1024-N1024</f>
        <v>0</v>
      </c>
      <c r="P1024" s="509">
        <f t="shared" si="304"/>
        <v>0</v>
      </c>
      <c r="Q1024" s="509">
        <f t="shared" si="304"/>
        <v>0</v>
      </c>
      <c r="R1024" s="509">
        <f t="shared" si="304"/>
        <v>0</v>
      </c>
      <c r="S1024" s="509">
        <f t="shared" si="304"/>
        <v>0</v>
      </c>
      <c r="T1024" s="509">
        <f t="shared" si="304"/>
        <v>0</v>
      </c>
      <c r="U1024" s="509">
        <f t="shared" si="304"/>
        <v>0</v>
      </c>
      <c r="V1024" s="509" t="e">
        <f t="shared" ref="V1024:V1043" si="306">U1024/O1024</f>
        <v>#DIV/0!</v>
      </c>
      <c r="W1024" s="509"/>
      <c r="X1024" s="522"/>
      <c r="Y1024" s="522"/>
    </row>
    <row r="1025" spans="1:25" ht="18.75" customHeight="1" thickTop="1" thickBot="1" x14ac:dyDescent="0.3">
      <c r="A1025" s="425">
        <v>1</v>
      </c>
      <c r="B1025" s="505" t="s">
        <v>231</v>
      </c>
      <c r="C1025" s="505" t="s">
        <v>220</v>
      </c>
      <c r="D1025" s="505"/>
      <c r="E1025" s="425"/>
      <c r="F1025" s="505"/>
      <c r="G1025" s="505"/>
      <c r="H1025" s="505"/>
      <c r="I1025" s="505"/>
      <c r="J1025" s="505"/>
      <c r="K1025" s="501" t="s">
        <v>729</v>
      </c>
      <c r="L1025" s="508">
        <f>SUM(L1026:L1028)</f>
        <v>0</v>
      </c>
      <c r="M1025" s="508">
        <f t="shared" ref="M1025:U1025" si="307">SUM(M1026:M1028)</f>
        <v>0</v>
      </c>
      <c r="N1025" s="508">
        <f t="shared" si="307"/>
        <v>0</v>
      </c>
      <c r="O1025" s="508">
        <f t="shared" si="305"/>
        <v>0</v>
      </c>
      <c r="P1025" s="508">
        <f t="shared" si="307"/>
        <v>0</v>
      </c>
      <c r="Q1025" s="508">
        <f t="shared" si="307"/>
        <v>0</v>
      </c>
      <c r="R1025" s="508">
        <f t="shared" si="307"/>
        <v>0</v>
      </c>
      <c r="S1025" s="508">
        <f t="shared" si="307"/>
        <v>0</v>
      </c>
      <c r="T1025" s="508">
        <f t="shared" si="307"/>
        <v>0</v>
      </c>
      <c r="U1025" s="508">
        <f t="shared" si="307"/>
        <v>0</v>
      </c>
      <c r="V1025" s="508" t="e">
        <f t="shared" si="306"/>
        <v>#DIV/0!</v>
      </c>
      <c r="W1025" s="508"/>
      <c r="X1025" s="522"/>
      <c r="Y1025" s="522"/>
    </row>
    <row r="1026" spans="1:25" ht="18.75" customHeight="1" thickTop="1" thickBot="1" x14ac:dyDescent="0.3">
      <c r="A1026" s="425">
        <v>1</v>
      </c>
      <c r="B1026" s="505" t="s">
        <v>231</v>
      </c>
      <c r="C1026" s="505" t="s">
        <v>220</v>
      </c>
      <c r="D1026" s="505" t="s">
        <v>220</v>
      </c>
      <c r="E1026" s="505"/>
      <c r="F1026" s="505"/>
      <c r="G1026" s="505"/>
      <c r="H1026" s="505"/>
      <c r="I1026" s="505"/>
      <c r="J1026" s="505"/>
      <c r="K1026" s="502" t="s">
        <v>730</v>
      </c>
      <c r="L1026" s="508"/>
      <c r="M1026" s="508"/>
      <c r="N1026" s="508"/>
      <c r="O1026" s="508">
        <f t="shared" si="305"/>
        <v>0</v>
      </c>
      <c r="P1026" s="508"/>
      <c r="Q1026" s="508"/>
      <c r="R1026" s="508"/>
      <c r="S1026" s="508"/>
      <c r="T1026" s="508"/>
      <c r="U1026" s="508"/>
      <c r="V1026" s="508" t="e">
        <f t="shared" si="306"/>
        <v>#DIV/0!</v>
      </c>
      <c r="W1026" s="508"/>
      <c r="X1026" s="522"/>
      <c r="Y1026" s="522"/>
    </row>
    <row r="1027" spans="1:25" ht="18.75" customHeight="1" thickTop="1" thickBot="1" x14ac:dyDescent="0.3">
      <c r="A1027" s="425">
        <v>1</v>
      </c>
      <c r="B1027" s="505" t="s">
        <v>231</v>
      </c>
      <c r="C1027" s="505" t="s">
        <v>220</v>
      </c>
      <c r="D1027" s="505" t="s">
        <v>231</v>
      </c>
      <c r="E1027" s="505"/>
      <c r="F1027" s="505"/>
      <c r="G1027" s="505"/>
      <c r="H1027" s="505"/>
      <c r="I1027" s="505"/>
      <c r="J1027" s="505"/>
      <c r="K1027" s="502" t="s">
        <v>731</v>
      </c>
      <c r="L1027" s="508"/>
      <c r="M1027" s="508"/>
      <c r="N1027" s="508"/>
      <c r="O1027" s="508">
        <f t="shared" si="305"/>
        <v>0</v>
      </c>
      <c r="P1027" s="508"/>
      <c r="Q1027" s="508"/>
      <c r="R1027" s="508"/>
      <c r="S1027" s="508"/>
      <c r="T1027" s="508"/>
      <c r="U1027" s="508"/>
      <c r="V1027" s="508" t="e">
        <f t="shared" si="306"/>
        <v>#DIV/0!</v>
      </c>
      <c r="W1027" s="508"/>
      <c r="X1027" s="522"/>
      <c r="Y1027" s="522"/>
    </row>
    <row r="1028" spans="1:25" ht="18.75" customHeight="1" thickTop="1" thickBot="1" x14ac:dyDescent="0.3">
      <c r="A1028" s="425">
        <v>1</v>
      </c>
      <c r="B1028" s="505" t="s">
        <v>231</v>
      </c>
      <c r="C1028" s="505" t="s">
        <v>220</v>
      </c>
      <c r="D1028" s="505" t="s">
        <v>305</v>
      </c>
      <c r="E1028" s="505"/>
      <c r="F1028" s="505"/>
      <c r="G1028" s="505"/>
      <c r="H1028" s="505"/>
      <c r="I1028" s="505"/>
      <c r="J1028" s="505"/>
      <c r="K1028" s="502" t="s">
        <v>732</v>
      </c>
      <c r="L1028" s="508"/>
      <c r="M1028" s="508"/>
      <c r="N1028" s="508"/>
      <c r="O1028" s="508">
        <f t="shared" si="305"/>
        <v>0</v>
      </c>
      <c r="P1028" s="508"/>
      <c r="Q1028" s="508"/>
      <c r="R1028" s="508"/>
      <c r="S1028" s="508"/>
      <c r="T1028" s="508"/>
      <c r="U1028" s="508"/>
      <c r="V1028" s="508" t="e">
        <f t="shared" si="306"/>
        <v>#DIV/0!</v>
      </c>
      <c r="W1028" s="508"/>
      <c r="X1028" s="522"/>
      <c r="Y1028" s="522"/>
    </row>
    <row r="1029" spans="1:25" ht="18.75" customHeight="1" thickTop="1" thickBot="1" x14ac:dyDescent="0.3">
      <c r="A1029" s="425">
        <v>1</v>
      </c>
      <c r="B1029" s="505" t="s">
        <v>231</v>
      </c>
      <c r="C1029" s="505" t="s">
        <v>231</v>
      </c>
      <c r="D1029" s="505"/>
      <c r="E1029" s="425"/>
      <c r="F1029" s="505"/>
      <c r="G1029" s="505"/>
      <c r="H1029" s="505"/>
      <c r="I1029" s="505"/>
      <c r="J1029" s="505"/>
      <c r="K1029" s="501" t="s">
        <v>733</v>
      </c>
      <c r="L1029" s="508"/>
      <c r="M1029" s="508"/>
      <c r="N1029" s="508"/>
      <c r="O1029" s="508">
        <f t="shared" si="305"/>
        <v>0</v>
      </c>
      <c r="P1029" s="508"/>
      <c r="Q1029" s="508"/>
      <c r="R1029" s="508"/>
      <c r="S1029" s="508"/>
      <c r="T1029" s="508"/>
      <c r="U1029" s="508"/>
      <c r="V1029" s="508" t="e">
        <f t="shared" si="306"/>
        <v>#DIV/0!</v>
      </c>
      <c r="W1029" s="508"/>
      <c r="X1029" s="522"/>
      <c r="Y1029" s="522"/>
    </row>
    <row r="1030" spans="1:25" ht="36" customHeight="1" thickTop="1" thickBot="1" x14ac:dyDescent="0.3">
      <c r="A1030" s="418">
        <v>1</v>
      </c>
      <c r="B1030" s="418" t="s">
        <v>305</v>
      </c>
      <c r="C1030" s="418"/>
      <c r="D1030" s="418"/>
      <c r="E1030" s="418"/>
      <c r="F1030" s="418"/>
      <c r="G1030" s="418"/>
      <c r="H1030" s="418"/>
      <c r="I1030" s="545"/>
      <c r="J1030" s="545"/>
      <c r="K1030" s="509" t="s">
        <v>734</v>
      </c>
      <c r="L1030" s="509">
        <f>+L1031+L1035</f>
        <v>0</v>
      </c>
      <c r="M1030" s="509">
        <f t="shared" ref="M1030:U1030" si="308">+M1031+M1035</f>
        <v>0</v>
      </c>
      <c r="N1030" s="509">
        <f t="shared" si="308"/>
        <v>0</v>
      </c>
      <c r="O1030" s="509">
        <f t="shared" si="305"/>
        <v>0</v>
      </c>
      <c r="P1030" s="509">
        <f t="shared" si="308"/>
        <v>0</v>
      </c>
      <c r="Q1030" s="509">
        <f t="shared" si="308"/>
        <v>0</v>
      </c>
      <c r="R1030" s="509">
        <f t="shared" si="308"/>
        <v>0</v>
      </c>
      <c r="S1030" s="509">
        <f t="shared" si="308"/>
        <v>0</v>
      </c>
      <c r="T1030" s="509">
        <f t="shared" si="308"/>
        <v>0</v>
      </c>
      <c r="U1030" s="509">
        <f t="shared" si="308"/>
        <v>0</v>
      </c>
      <c r="V1030" s="509" t="e">
        <f t="shared" si="306"/>
        <v>#DIV/0!</v>
      </c>
      <c r="W1030" s="509"/>
      <c r="X1030" s="522"/>
      <c r="Y1030" s="522"/>
    </row>
    <row r="1031" spans="1:25" ht="18.75" customHeight="1" thickTop="1" thickBot="1" x14ac:dyDescent="0.3">
      <c r="A1031" s="425">
        <v>1</v>
      </c>
      <c r="B1031" s="505" t="s">
        <v>305</v>
      </c>
      <c r="C1031" s="505" t="s">
        <v>220</v>
      </c>
      <c r="D1031" s="505"/>
      <c r="E1031" s="425"/>
      <c r="F1031" s="505"/>
      <c r="G1031" s="505"/>
      <c r="H1031" s="505"/>
      <c r="I1031" s="505"/>
      <c r="J1031" s="505"/>
      <c r="K1031" s="501" t="s">
        <v>735</v>
      </c>
      <c r="L1031" s="508">
        <f>SUM(L1032:L1034)</f>
        <v>0</v>
      </c>
      <c r="M1031" s="508">
        <f t="shared" ref="M1031:U1031" si="309">SUM(M1032:M1034)</f>
        <v>0</v>
      </c>
      <c r="N1031" s="508">
        <f t="shared" si="309"/>
        <v>0</v>
      </c>
      <c r="O1031" s="508">
        <f t="shared" si="305"/>
        <v>0</v>
      </c>
      <c r="P1031" s="508">
        <f t="shared" si="309"/>
        <v>0</v>
      </c>
      <c r="Q1031" s="508">
        <f t="shared" si="309"/>
        <v>0</v>
      </c>
      <c r="R1031" s="508">
        <f t="shared" si="309"/>
        <v>0</v>
      </c>
      <c r="S1031" s="508">
        <f t="shared" si="309"/>
        <v>0</v>
      </c>
      <c r="T1031" s="508">
        <f t="shared" si="309"/>
        <v>0</v>
      </c>
      <c r="U1031" s="508">
        <f t="shared" si="309"/>
        <v>0</v>
      </c>
      <c r="V1031" s="508" t="e">
        <f t="shared" si="306"/>
        <v>#DIV/0!</v>
      </c>
      <c r="W1031" s="508"/>
      <c r="X1031" s="522"/>
      <c r="Y1031" s="522"/>
    </row>
    <row r="1032" spans="1:25" ht="18.75" customHeight="1" thickTop="1" thickBot="1" x14ac:dyDescent="0.3">
      <c r="A1032" s="425">
        <v>1</v>
      </c>
      <c r="B1032" s="505" t="s">
        <v>305</v>
      </c>
      <c r="C1032" s="505" t="s">
        <v>220</v>
      </c>
      <c r="D1032" s="505" t="s">
        <v>220</v>
      </c>
      <c r="E1032" s="505"/>
      <c r="F1032" s="505"/>
      <c r="G1032" s="505"/>
      <c r="H1032" s="505"/>
      <c r="I1032" s="505"/>
      <c r="J1032" s="505"/>
      <c r="K1032" s="502" t="s">
        <v>736</v>
      </c>
      <c r="L1032" s="508"/>
      <c r="M1032" s="508"/>
      <c r="N1032" s="508"/>
      <c r="O1032" s="508">
        <f t="shared" si="305"/>
        <v>0</v>
      </c>
      <c r="P1032" s="508"/>
      <c r="Q1032" s="508"/>
      <c r="R1032" s="508"/>
      <c r="S1032" s="508"/>
      <c r="T1032" s="508"/>
      <c r="U1032" s="508"/>
      <c r="V1032" s="508" t="e">
        <f t="shared" si="306"/>
        <v>#DIV/0!</v>
      </c>
      <c r="W1032" s="508"/>
      <c r="X1032" s="522"/>
      <c r="Y1032" s="522"/>
    </row>
    <row r="1033" spans="1:25" ht="18.75" customHeight="1" thickTop="1" thickBot="1" x14ac:dyDescent="0.3">
      <c r="A1033" s="425">
        <v>1</v>
      </c>
      <c r="B1033" s="505" t="s">
        <v>305</v>
      </c>
      <c r="C1033" s="505" t="s">
        <v>220</v>
      </c>
      <c r="D1033" s="505" t="s">
        <v>231</v>
      </c>
      <c r="E1033" s="505"/>
      <c r="F1033" s="505"/>
      <c r="G1033" s="505"/>
      <c r="H1033" s="505"/>
      <c r="I1033" s="505"/>
      <c r="J1033" s="505"/>
      <c r="K1033" s="502" t="s">
        <v>737</v>
      </c>
      <c r="L1033" s="508"/>
      <c r="M1033" s="508"/>
      <c r="N1033" s="508"/>
      <c r="O1033" s="508">
        <f t="shared" si="305"/>
        <v>0</v>
      </c>
      <c r="P1033" s="508"/>
      <c r="Q1033" s="508"/>
      <c r="R1033" s="508"/>
      <c r="S1033" s="508"/>
      <c r="T1033" s="508"/>
      <c r="U1033" s="508"/>
      <c r="V1033" s="508" t="e">
        <f t="shared" si="306"/>
        <v>#DIV/0!</v>
      </c>
      <c r="W1033" s="508"/>
      <c r="X1033" s="522"/>
      <c r="Y1033" s="522"/>
    </row>
    <row r="1034" spans="1:25" ht="18.75" customHeight="1" thickTop="1" thickBot="1" x14ac:dyDescent="0.3">
      <c r="A1034" s="425">
        <v>1</v>
      </c>
      <c r="B1034" s="505" t="s">
        <v>305</v>
      </c>
      <c r="C1034" s="505" t="s">
        <v>220</v>
      </c>
      <c r="D1034" s="505" t="s">
        <v>305</v>
      </c>
      <c r="E1034" s="505"/>
      <c r="F1034" s="505"/>
      <c r="G1034" s="505"/>
      <c r="H1034" s="505"/>
      <c r="I1034" s="505"/>
      <c r="J1034" s="505"/>
      <c r="K1034" s="502" t="s">
        <v>738</v>
      </c>
      <c r="L1034" s="508"/>
      <c r="M1034" s="508"/>
      <c r="N1034" s="508"/>
      <c r="O1034" s="508">
        <f t="shared" si="305"/>
        <v>0</v>
      </c>
      <c r="P1034" s="508"/>
      <c r="Q1034" s="508"/>
      <c r="R1034" s="508"/>
      <c r="S1034" s="508"/>
      <c r="T1034" s="508"/>
      <c r="U1034" s="508"/>
      <c r="V1034" s="508" t="e">
        <f t="shared" si="306"/>
        <v>#DIV/0!</v>
      </c>
      <c r="W1034" s="508"/>
      <c r="X1034" s="522"/>
      <c r="Y1034" s="522"/>
    </row>
    <row r="1035" spans="1:25" ht="18.75" customHeight="1" thickTop="1" thickBot="1" x14ac:dyDescent="0.3">
      <c r="A1035" s="425">
        <v>1</v>
      </c>
      <c r="B1035" s="505" t="s">
        <v>305</v>
      </c>
      <c r="C1035" s="505" t="s">
        <v>231</v>
      </c>
      <c r="D1035" s="505"/>
      <c r="E1035" s="425"/>
      <c r="F1035" s="505"/>
      <c r="G1035" s="505"/>
      <c r="H1035" s="505"/>
      <c r="I1035" s="505"/>
      <c r="J1035" s="505"/>
      <c r="K1035" s="501" t="s">
        <v>739</v>
      </c>
      <c r="L1035" s="508"/>
      <c r="M1035" s="508"/>
      <c r="N1035" s="508"/>
      <c r="O1035" s="508">
        <f t="shared" si="305"/>
        <v>0</v>
      </c>
      <c r="P1035" s="508"/>
      <c r="Q1035" s="508"/>
      <c r="R1035" s="508"/>
      <c r="S1035" s="508"/>
      <c r="T1035" s="508"/>
      <c r="U1035" s="508"/>
      <c r="V1035" s="508" t="e">
        <f t="shared" si="306"/>
        <v>#DIV/0!</v>
      </c>
      <c r="W1035" s="508"/>
      <c r="X1035" s="522"/>
      <c r="Y1035" s="522"/>
    </row>
    <row r="1036" spans="1:25" ht="36" customHeight="1" thickTop="1" thickBot="1" x14ac:dyDescent="0.3">
      <c r="A1036" s="418">
        <v>1</v>
      </c>
      <c r="B1036" s="418" t="s">
        <v>313</v>
      </c>
      <c r="C1036" s="418"/>
      <c r="D1036" s="418"/>
      <c r="E1036" s="418"/>
      <c r="F1036" s="418"/>
      <c r="G1036" s="418"/>
      <c r="H1036" s="418"/>
      <c r="I1036" s="545"/>
      <c r="J1036" s="545"/>
      <c r="K1036" s="419" t="s">
        <v>740</v>
      </c>
      <c r="L1036" s="509"/>
      <c r="M1036" s="509"/>
      <c r="N1036" s="509"/>
      <c r="O1036" s="509">
        <f t="shared" si="305"/>
        <v>0</v>
      </c>
      <c r="P1036" s="509"/>
      <c r="Q1036" s="509"/>
      <c r="R1036" s="509"/>
      <c r="S1036" s="509"/>
      <c r="T1036" s="509"/>
      <c r="U1036" s="509"/>
      <c r="V1036" s="509" t="e">
        <f t="shared" si="306"/>
        <v>#DIV/0!</v>
      </c>
      <c r="W1036" s="509"/>
      <c r="X1036" s="522"/>
      <c r="Y1036" s="522"/>
    </row>
    <row r="1037" spans="1:25" ht="36" customHeight="1" thickTop="1" thickBot="1" x14ac:dyDescent="0.3">
      <c r="A1037" s="418" t="s">
        <v>216</v>
      </c>
      <c r="B1037" s="418" t="s">
        <v>243</v>
      </c>
      <c r="C1037" s="418"/>
      <c r="D1037" s="418"/>
      <c r="E1037" s="418"/>
      <c r="F1037" s="418"/>
      <c r="G1037" s="418"/>
      <c r="H1037" s="418"/>
      <c r="I1037" s="545"/>
      <c r="J1037" s="545"/>
      <c r="K1037" s="419" t="s">
        <v>742</v>
      </c>
      <c r="L1037" s="509">
        <f>+L1038+L1042+L1043</f>
        <v>0</v>
      </c>
      <c r="M1037" s="509">
        <f t="shared" ref="M1037:U1037" si="310">+M1038+M1042+M1043</f>
        <v>0</v>
      </c>
      <c r="N1037" s="509">
        <f t="shared" si="310"/>
        <v>0</v>
      </c>
      <c r="O1037" s="509">
        <f t="shared" si="305"/>
        <v>0</v>
      </c>
      <c r="P1037" s="509">
        <f t="shared" si="310"/>
        <v>0</v>
      </c>
      <c r="Q1037" s="509">
        <f t="shared" si="310"/>
        <v>0</v>
      </c>
      <c r="R1037" s="509">
        <f t="shared" si="310"/>
        <v>0</v>
      </c>
      <c r="S1037" s="509">
        <f t="shared" si="310"/>
        <v>0</v>
      </c>
      <c r="T1037" s="509">
        <f t="shared" si="310"/>
        <v>0</v>
      </c>
      <c r="U1037" s="509">
        <f t="shared" si="310"/>
        <v>0</v>
      </c>
      <c r="V1037" s="509" t="e">
        <f t="shared" si="306"/>
        <v>#DIV/0!</v>
      </c>
      <c r="W1037" s="509"/>
      <c r="X1037" s="522"/>
      <c r="Y1037" s="522"/>
    </row>
    <row r="1038" spans="1:25" ht="18.75" customHeight="1" thickTop="1" thickBot="1" x14ac:dyDescent="0.3">
      <c r="A1038" s="425" t="s">
        <v>216</v>
      </c>
      <c r="B1038" s="505" t="s">
        <v>243</v>
      </c>
      <c r="C1038" s="505" t="s">
        <v>220</v>
      </c>
      <c r="D1038" s="505"/>
      <c r="E1038" s="425"/>
      <c r="F1038" s="505"/>
      <c r="G1038" s="505"/>
      <c r="H1038" s="505"/>
      <c r="I1038" s="505"/>
      <c r="J1038" s="505"/>
      <c r="K1038" s="503" t="s">
        <v>743</v>
      </c>
      <c r="L1038" s="508">
        <f>SUM(L1039:L1041)</f>
        <v>0</v>
      </c>
      <c r="M1038" s="508">
        <f t="shared" ref="M1038:U1038" si="311">SUM(M1039:M1041)</f>
        <v>0</v>
      </c>
      <c r="N1038" s="508">
        <f t="shared" si="311"/>
        <v>0</v>
      </c>
      <c r="O1038" s="508">
        <f t="shared" si="305"/>
        <v>0</v>
      </c>
      <c r="P1038" s="508">
        <f t="shared" si="311"/>
        <v>0</v>
      </c>
      <c r="Q1038" s="508">
        <f t="shared" si="311"/>
        <v>0</v>
      </c>
      <c r="R1038" s="508">
        <f t="shared" si="311"/>
        <v>0</v>
      </c>
      <c r="S1038" s="508">
        <f t="shared" si="311"/>
        <v>0</v>
      </c>
      <c r="T1038" s="508">
        <f t="shared" si="311"/>
        <v>0</v>
      </c>
      <c r="U1038" s="508">
        <f t="shared" si="311"/>
        <v>0</v>
      </c>
      <c r="V1038" s="508" t="e">
        <f t="shared" si="306"/>
        <v>#DIV/0!</v>
      </c>
      <c r="W1038" s="508"/>
      <c r="X1038" s="522"/>
      <c r="Y1038" s="522"/>
    </row>
    <row r="1039" spans="1:25" ht="18.75" customHeight="1" thickTop="1" thickBot="1" x14ac:dyDescent="0.3">
      <c r="A1039" s="425" t="s">
        <v>216</v>
      </c>
      <c r="B1039" s="505" t="s">
        <v>243</v>
      </c>
      <c r="C1039" s="505" t="s">
        <v>220</v>
      </c>
      <c r="D1039" s="505" t="s">
        <v>220</v>
      </c>
      <c r="E1039" s="505"/>
      <c r="F1039" s="505"/>
      <c r="G1039" s="505"/>
      <c r="H1039" s="505"/>
      <c r="I1039" s="505"/>
      <c r="J1039" s="505"/>
      <c r="K1039" s="502" t="s">
        <v>744</v>
      </c>
      <c r="L1039" s="508"/>
      <c r="M1039" s="508"/>
      <c r="N1039" s="508"/>
      <c r="O1039" s="508">
        <f t="shared" si="305"/>
        <v>0</v>
      </c>
      <c r="P1039" s="508"/>
      <c r="Q1039" s="508"/>
      <c r="R1039" s="508"/>
      <c r="S1039" s="508"/>
      <c r="T1039" s="508"/>
      <c r="U1039" s="508"/>
      <c r="V1039" s="508" t="e">
        <f t="shared" si="306"/>
        <v>#DIV/0!</v>
      </c>
      <c r="W1039" s="508"/>
      <c r="X1039" s="522"/>
      <c r="Y1039" s="522"/>
    </row>
    <row r="1040" spans="1:25" ht="18.75" customHeight="1" thickTop="1" thickBot="1" x14ac:dyDescent="0.3">
      <c r="A1040" s="425" t="s">
        <v>216</v>
      </c>
      <c r="B1040" s="505" t="s">
        <v>243</v>
      </c>
      <c r="C1040" s="505" t="s">
        <v>220</v>
      </c>
      <c r="D1040" s="505" t="s">
        <v>231</v>
      </c>
      <c r="E1040" s="505"/>
      <c r="F1040" s="505"/>
      <c r="G1040" s="505"/>
      <c r="H1040" s="505"/>
      <c r="I1040" s="505"/>
      <c r="J1040" s="505"/>
      <c r="K1040" s="502" t="s">
        <v>745</v>
      </c>
      <c r="L1040" s="508"/>
      <c r="M1040" s="508"/>
      <c r="N1040" s="508"/>
      <c r="O1040" s="508">
        <f t="shared" si="305"/>
        <v>0</v>
      </c>
      <c r="P1040" s="508"/>
      <c r="Q1040" s="508"/>
      <c r="R1040" s="508"/>
      <c r="S1040" s="508"/>
      <c r="T1040" s="508"/>
      <c r="U1040" s="508"/>
      <c r="V1040" s="508" t="e">
        <f t="shared" si="306"/>
        <v>#DIV/0!</v>
      </c>
      <c r="W1040" s="508"/>
      <c r="X1040" s="522"/>
      <c r="Y1040" s="522"/>
    </row>
    <row r="1041" spans="1:25" ht="18.75" customHeight="1" thickTop="1" thickBot="1" x14ac:dyDescent="0.3">
      <c r="A1041" s="425" t="s">
        <v>216</v>
      </c>
      <c r="B1041" s="505" t="s">
        <v>243</v>
      </c>
      <c r="C1041" s="505" t="s">
        <v>220</v>
      </c>
      <c r="D1041" s="505" t="s">
        <v>305</v>
      </c>
      <c r="E1041" s="505"/>
      <c r="F1041" s="505"/>
      <c r="G1041" s="505"/>
      <c r="H1041" s="505"/>
      <c r="I1041" s="505"/>
      <c r="J1041" s="505"/>
      <c r="K1041" s="502" t="s">
        <v>746</v>
      </c>
      <c r="L1041" s="508"/>
      <c r="M1041" s="508"/>
      <c r="N1041" s="508"/>
      <c r="O1041" s="508">
        <f t="shared" si="305"/>
        <v>0</v>
      </c>
      <c r="P1041" s="508"/>
      <c r="Q1041" s="508"/>
      <c r="R1041" s="508"/>
      <c r="S1041" s="508"/>
      <c r="T1041" s="508"/>
      <c r="U1041" s="508"/>
      <c r="V1041" s="508" t="e">
        <f t="shared" si="306"/>
        <v>#DIV/0!</v>
      </c>
      <c r="W1041" s="508"/>
      <c r="X1041" s="522"/>
      <c r="Y1041" s="522"/>
    </row>
    <row r="1042" spans="1:25" ht="18.75" customHeight="1" thickTop="1" thickBot="1" x14ac:dyDescent="0.3">
      <c r="A1042" s="425" t="s">
        <v>216</v>
      </c>
      <c r="B1042" s="505" t="s">
        <v>243</v>
      </c>
      <c r="C1042" s="505" t="s">
        <v>231</v>
      </c>
      <c r="D1042" s="505"/>
      <c r="E1042" s="425"/>
      <c r="F1042" s="505"/>
      <c r="G1042" s="505"/>
      <c r="H1042" s="505"/>
      <c r="I1042" s="505"/>
      <c r="J1042" s="505"/>
      <c r="K1042" s="503" t="s">
        <v>747</v>
      </c>
      <c r="L1042" s="510"/>
      <c r="M1042" s="510"/>
      <c r="N1042" s="510"/>
      <c r="O1042" s="510">
        <f t="shared" si="305"/>
        <v>0</v>
      </c>
      <c r="P1042" s="510"/>
      <c r="Q1042" s="510"/>
      <c r="R1042" s="510"/>
      <c r="S1042" s="510"/>
      <c r="T1042" s="510"/>
      <c r="U1042" s="510"/>
      <c r="V1042" s="508" t="e">
        <f t="shared" si="306"/>
        <v>#DIV/0!</v>
      </c>
      <c r="W1042" s="508"/>
      <c r="X1042" s="522"/>
      <c r="Y1042" s="522"/>
    </row>
    <row r="1043" spans="1:25" ht="18.75" customHeight="1" thickTop="1" thickBot="1" x14ac:dyDescent="0.3">
      <c r="A1043" s="425" t="s">
        <v>216</v>
      </c>
      <c r="B1043" s="505" t="s">
        <v>243</v>
      </c>
      <c r="C1043" s="505" t="s">
        <v>305</v>
      </c>
      <c r="D1043" s="505"/>
      <c r="E1043" s="425"/>
      <c r="F1043" s="505"/>
      <c r="G1043" s="505"/>
      <c r="H1043" s="505"/>
      <c r="I1043" s="505"/>
      <c r="J1043" s="505"/>
      <c r="K1043" s="503" t="s">
        <v>748</v>
      </c>
      <c r="L1043" s="510"/>
      <c r="M1043" s="510"/>
      <c r="N1043" s="510"/>
      <c r="O1043" s="510">
        <f t="shared" si="305"/>
        <v>0</v>
      </c>
      <c r="P1043" s="510"/>
      <c r="Q1043" s="510"/>
      <c r="R1043" s="510"/>
      <c r="S1043" s="510"/>
      <c r="T1043" s="510"/>
      <c r="U1043" s="510"/>
      <c r="V1043" s="508" t="e">
        <f t="shared" si="306"/>
        <v>#DIV/0!</v>
      </c>
      <c r="W1043" s="508"/>
      <c r="X1043" s="522"/>
      <c r="Y1043" s="522"/>
    </row>
    <row r="1044" spans="1:25" ht="36" customHeight="1" thickTop="1" x14ac:dyDescent="0.25"/>
  </sheetData>
  <autoFilter ref="A6:GI523"/>
  <mergeCells count="16">
    <mergeCell ref="Y5:Y6"/>
    <mergeCell ref="A1:W1"/>
    <mergeCell ref="A2:W2"/>
    <mergeCell ref="A3:W3"/>
    <mergeCell ref="A4:W4"/>
    <mergeCell ref="A5:I5"/>
    <mergeCell ref="K5:K6"/>
    <mergeCell ref="L5:L6"/>
    <mergeCell ref="M5:N5"/>
    <mergeCell ref="O5:O6"/>
    <mergeCell ref="P5:S5"/>
    <mergeCell ref="T5:T6"/>
    <mergeCell ref="U5:U6"/>
    <mergeCell ref="V5:V6"/>
    <mergeCell ref="W5:W6"/>
    <mergeCell ref="X5:X6"/>
  </mergeCells>
  <printOptions horizontalCentered="1" verticalCentered="1"/>
  <pageMargins left="0.78740157480314965" right="0.78740157480314965" top="0.98425196850393704" bottom="0.98425196850393704" header="0" footer="0"/>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topLeftCell="A13" workbookViewId="0">
      <selection activeCell="B15" sqref="B15"/>
    </sheetView>
  </sheetViews>
  <sheetFormatPr baseColWidth="10" defaultColWidth="11.42578125" defaultRowHeight="12.75" x14ac:dyDescent="0.25"/>
  <cols>
    <col min="1" max="1" width="34.140625" style="478" customWidth="1"/>
    <col min="2" max="2" width="70.42578125" style="478" customWidth="1"/>
    <col min="3" max="16384" width="11.42578125" style="478"/>
  </cols>
  <sheetData>
    <row r="1" spans="1:2" ht="13.5" thickBot="1" x14ac:dyDescent="0.3">
      <c r="A1" s="1346"/>
      <c r="B1" s="1346"/>
    </row>
    <row r="2" spans="1:2" ht="13.5" thickBot="1" x14ac:dyDescent="0.3">
      <c r="A2" s="1347" t="s">
        <v>749</v>
      </c>
      <c r="B2" s="1348"/>
    </row>
    <row r="3" spans="1:2" ht="13.5" thickBot="1" x14ac:dyDescent="0.3">
      <c r="A3" s="1244" t="s">
        <v>118</v>
      </c>
      <c r="B3" s="1245"/>
    </row>
    <row r="4" spans="1:2" ht="13.5" thickBot="1" x14ac:dyDescent="0.3">
      <c r="A4" s="479" t="s">
        <v>750</v>
      </c>
      <c r="B4" s="479" t="s">
        <v>120</v>
      </c>
    </row>
    <row r="5" spans="1:2" ht="26.25" thickBot="1" x14ac:dyDescent="0.3">
      <c r="A5" s="480" t="s">
        <v>751</v>
      </c>
      <c r="B5" s="481" t="s">
        <v>752</v>
      </c>
    </row>
    <row r="6" spans="1:2" ht="14.25" thickTop="1" thickBot="1" x14ac:dyDescent="0.3">
      <c r="A6" s="482" t="s">
        <v>753</v>
      </c>
      <c r="B6" s="481" t="s">
        <v>754</v>
      </c>
    </row>
    <row r="7" spans="1:2" ht="27" thickTop="1" thickBot="1" x14ac:dyDescent="0.3">
      <c r="A7" s="482" t="s">
        <v>755</v>
      </c>
      <c r="B7" s="483" t="s">
        <v>756</v>
      </c>
    </row>
    <row r="8" spans="1:2" ht="52.5" thickTop="1" thickBot="1" x14ac:dyDescent="0.3">
      <c r="A8" s="482" t="s">
        <v>757</v>
      </c>
      <c r="B8" s="481" t="s">
        <v>758</v>
      </c>
    </row>
    <row r="9" spans="1:2" ht="52.5" thickTop="1" thickBot="1" x14ac:dyDescent="0.3">
      <c r="A9" s="484" t="s">
        <v>759</v>
      </c>
      <c r="B9" s="481" t="s">
        <v>760</v>
      </c>
    </row>
    <row r="10" spans="1:2" ht="27" thickTop="1" thickBot="1" x14ac:dyDescent="0.3">
      <c r="A10" s="484" t="s">
        <v>761</v>
      </c>
      <c r="B10" s="481" t="s">
        <v>762</v>
      </c>
    </row>
    <row r="11" spans="1:2" ht="27" thickTop="1" thickBot="1" x14ac:dyDescent="0.3">
      <c r="A11" s="485" t="s">
        <v>763</v>
      </c>
      <c r="B11" s="483" t="s">
        <v>764</v>
      </c>
    </row>
    <row r="12" spans="1:2" ht="27" thickTop="1" thickBot="1" x14ac:dyDescent="0.3">
      <c r="A12" s="482" t="s">
        <v>765</v>
      </c>
      <c r="B12" s="483" t="s">
        <v>766</v>
      </c>
    </row>
    <row r="13" spans="1:2" ht="90.75" thickTop="1" thickBot="1" x14ac:dyDescent="0.3">
      <c r="A13" s="485" t="s">
        <v>767</v>
      </c>
      <c r="B13" s="481" t="s">
        <v>768</v>
      </c>
    </row>
    <row r="14" spans="1:2" ht="39.75" thickTop="1" thickBot="1" x14ac:dyDescent="0.3">
      <c r="A14" s="485" t="s">
        <v>769</v>
      </c>
      <c r="B14" s="481" t="s">
        <v>770</v>
      </c>
    </row>
    <row r="15" spans="1:2" ht="78" thickTop="1" thickBot="1" x14ac:dyDescent="0.3">
      <c r="A15" s="486" t="s">
        <v>771</v>
      </c>
      <c r="B15" s="483" t="s">
        <v>772</v>
      </c>
    </row>
    <row r="16" spans="1:2" ht="14.25" thickTop="1" thickBot="1" x14ac:dyDescent="0.3">
      <c r="A16" s="482" t="s">
        <v>773</v>
      </c>
      <c r="B16" s="483" t="s">
        <v>774</v>
      </c>
    </row>
    <row r="17" spans="1:2" ht="27" thickTop="1" thickBot="1" x14ac:dyDescent="0.3">
      <c r="A17" s="487" t="s">
        <v>775</v>
      </c>
      <c r="B17" s="483" t="s">
        <v>776</v>
      </c>
    </row>
    <row r="18" spans="1:2" ht="27" thickTop="1" thickBot="1" x14ac:dyDescent="0.3">
      <c r="A18" s="482" t="s">
        <v>777</v>
      </c>
      <c r="B18" s="488" t="s">
        <v>778</v>
      </c>
    </row>
    <row r="19" spans="1:2" ht="13.5" thickTop="1" x14ac:dyDescent="0.25"/>
  </sheetData>
  <mergeCells count="3">
    <mergeCell ref="A1:B1"/>
    <mergeCell ref="A2:B2"/>
    <mergeCell ref="A3:B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1046"/>
  <sheetViews>
    <sheetView topLeftCell="K1" zoomScale="80" zoomScaleNormal="80" zoomScaleSheetLayoutView="100" workbookViewId="0">
      <pane ySplit="6" topLeftCell="A7" activePane="bottomLeft" state="frozen"/>
      <selection pane="bottomLeft" activeCell="R17" sqref="R17"/>
    </sheetView>
  </sheetViews>
  <sheetFormatPr baseColWidth="10" defaultColWidth="11.42578125" defaultRowHeight="36" customHeight="1" x14ac:dyDescent="0.25"/>
  <cols>
    <col min="1" max="1" width="10" style="1059" hidden="1" customWidth="1"/>
    <col min="2" max="2" width="14.7109375" style="1059" hidden="1" customWidth="1"/>
    <col min="3" max="3" width="14.140625" style="1059" hidden="1" customWidth="1"/>
    <col min="4" max="4" width="16.140625" style="1059" hidden="1" customWidth="1"/>
    <col min="5" max="10" width="0" style="1059" hidden="1" customWidth="1"/>
    <col min="11" max="11" width="59.140625" style="1171" customWidth="1"/>
    <col min="12" max="12" width="29.28515625" style="1059" hidden="1" customWidth="1"/>
    <col min="13" max="13" width="28" style="1059" hidden="1" customWidth="1"/>
    <col min="14" max="14" width="30.7109375" style="1059" hidden="1" customWidth="1"/>
    <col min="15" max="15" width="25.42578125" style="1059" customWidth="1"/>
    <col min="16" max="16" width="25.7109375" style="1059" customWidth="1"/>
    <col min="17" max="17" width="20.140625" style="1059" hidden="1" customWidth="1"/>
    <col min="18" max="18" width="27.140625" style="1059" customWidth="1"/>
    <col min="19" max="19" width="23.85546875" style="1059" hidden="1" customWidth="1"/>
    <col min="20" max="20" width="18.85546875" style="1059" hidden="1" customWidth="1"/>
    <col min="21" max="21" width="26.140625" style="1059" hidden="1" customWidth="1"/>
    <col min="22" max="22" width="22.85546875" style="1059" hidden="1" customWidth="1"/>
    <col min="23" max="23" width="26" style="1059" hidden="1" customWidth="1"/>
    <col min="24" max="24" width="19.28515625" style="1059" hidden="1" customWidth="1"/>
    <col min="25" max="26" width="20.42578125" style="1059" hidden="1" customWidth="1"/>
    <col min="27" max="27" width="20.42578125" style="1059" customWidth="1"/>
    <col min="28" max="28" width="20.28515625" style="1059" hidden="1" customWidth="1"/>
    <col min="29" max="29" width="29.140625" style="1059" hidden="1" customWidth="1"/>
    <col min="30" max="30" width="11.42578125" style="1059"/>
    <col min="31" max="32" width="18.7109375" style="1059" bestFit="1" customWidth="1"/>
    <col min="33" max="33" width="17.42578125" style="1059" bestFit="1" customWidth="1"/>
    <col min="34" max="16384" width="11.42578125" style="1059"/>
  </cols>
  <sheetData>
    <row r="1" spans="1:32" ht="109.5" customHeight="1" thickBot="1" x14ac:dyDescent="0.3">
      <c r="A1" s="1314"/>
      <c r="B1" s="1315"/>
      <c r="C1" s="1315"/>
      <c r="D1" s="1315"/>
      <c r="E1" s="1315"/>
      <c r="F1" s="1316"/>
      <c r="G1" s="1316"/>
      <c r="H1" s="1316"/>
      <c r="I1" s="1315"/>
      <c r="J1" s="1315"/>
      <c r="K1" s="1315"/>
      <c r="L1" s="1315"/>
      <c r="M1" s="1315"/>
      <c r="N1" s="1315"/>
      <c r="O1" s="1315"/>
      <c r="P1" s="1315"/>
      <c r="Q1" s="1315"/>
      <c r="R1" s="1315"/>
      <c r="S1" s="1315"/>
      <c r="T1" s="1315"/>
      <c r="U1" s="1315"/>
      <c r="V1" s="1315"/>
      <c r="W1" s="1315"/>
      <c r="X1" s="1315"/>
      <c r="Y1" s="1315"/>
      <c r="Z1" s="1315"/>
      <c r="AA1" s="1315"/>
      <c r="AB1" s="1315"/>
    </row>
    <row r="2" spans="1:32" s="1060" customFormat="1" ht="26.25" customHeight="1" x14ac:dyDescent="0.25">
      <c r="A2" s="1351" t="s">
        <v>187</v>
      </c>
      <c r="B2" s="1352"/>
      <c r="C2" s="1352"/>
      <c r="D2" s="1352"/>
      <c r="E2" s="1352"/>
      <c r="F2" s="1352"/>
      <c r="G2" s="1352"/>
      <c r="H2" s="1352"/>
      <c r="I2" s="1352"/>
      <c r="J2" s="1352"/>
      <c r="K2" s="1352"/>
      <c r="L2" s="1352"/>
      <c r="M2" s="1352"/>
      <c r="N2" s="1352"/>
      <c r="O2" s="1352"/>
      <c r="P2" s="1352"/>
      <c r="Q2" s="1352"/>
      <c r="R2" s="1352"/>
      <c r="S2" s="1352"/>
      <c r="T2" s="1352"/>
      <c r="U2" s="1352"/>
      <c r="V2" s="1352"/>
      <c r="W2" s="1352"/>
      <c r="X2" s="1352"/>
      <c r="Y2" s="1352"/>
      <c r="Z2" s="1352"/>
      <c r="AA2" s="1352"/>
      <c r="AB2" s="1352"/>
    </row>
    <row r="3" spans="1:32" s="1060" customFormat="1" ht="26.25" customHeight="1" x14ac:dyDescent="0.25">
      <c r="A3" s="1353" t="s">
        <v>2628</v>
      </c>
      <c r="B3" s="1354"/>
      <c r="C3" s="1354"/>
      <c r="D3" s="1354"/>
      <c r="E3" s="1354"/>
      <c r="F3" s="1354"/>
      <c r="G3" s="1354"/>
      <c r="H3" s="1354"/>
      <c r="I3" s="1354"/>
      <c r="J3" s="1354"/>
      <c r="K3" s="1354"/>
      <c r="L3" s="1354"/>
      <c r="M3" s="1354"/>
      <c r="N3" s="1354"/>
      <c r="O3" s="1354"/>
      <c r="P3" s="1354"/>
      <c r="Q3" s="1354"/>
      <c r="R3" s="1354"/>
      <c r="S3" s="1354"/>
      <c r="T3" s="1354"/>
      <c r="U3" s="1354"/>
      <c r="V3" s="1354"/>
      <c r="W3" s="1354"/>
      <c r="X3" s="1354"/>
      <c r="Y3" s="1354"/>
      <c r="Z3" s="1354"/>
      <c r="AA3" s="1354"/>
      <c r="AB3" s="1354"/>
    </row>
    <row r="4" spans="1:32" s="1060" customFormat="1" ht="26.25" customHeight="1" thickBot="1" x14ac:dyDescent="0.3">
      <c r="A4" s="1355" t="s">
        <v>2629</v>
      </c>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6"/>
      <c r="Z4" s="1356"/>
      <c r="AA4" s="1356"/>
      <c r="AB4" s="1356"/>
    </row>
    <row r="5" spans="1:32" s="1062" customFormat="1" ht="36" customHeight="1" thickTop="1" thickBot="1" x14ac:dyDescent="0.3">
      <c r="A5" s="1362" t="s">
        <v>189</v>
      </c>
      <c r="B5" s="1363"/>
      <c r="C5" s="1363"/>
      <c r="D5" s="1363"/>
      <c r="E5" s="1363"/>
      <c r="F5" s="1363"/>
      <c r="G5" s="1363"/>
      <c r="H5" s="1363"/>
      <c r="I5" s="1364"/>
      <c r="J5" s="1061"/>
      <c r="K5" s="1333" t="s">
        <v>190</v>
      </c>
      <c r="L5" s="1333" t="s">
        <v>191</v>
      </c>
      <c r="M5" s="1335" t="s">
        <v>192</v>
      </c>
      <c r="N5" s="1335"/>
      <c r="O5" s="1333" t="s">
        <v>193</v>
      </c>
      <c r="P5" s="1357" t="s">
        <v>194</v>
      </c>
      <c r="Q5" s="1358"/>
      <c r="R5" s="1358"/>
      <c r="S5" s="1358"/>
      <c r="T5" s="1358"/>
      <c r="U5" s="1358"/>
      <c r="V5" s="1358"/>
      <c r="W5" s="1359"/>
      <c r="X5" s="1365" t="s">
        <v>195</v>
      </c>
      <c r="Y5" s="1333" t="s">
        <v>2630</v>
      </c>
      <c r="Z5" s="1360" t="s">
        <v>2631</v>
      </c>
      <c r="AA5" s="1333" t="s">
        <v>2632</v>
      </c>
      <c r="AB5" s="1343" t="s">
        <v>197</v>
      </c>
      <c r="AC5" s="1349" t="s">
        <v>2633</v>
      </c>
    </row>
    <row r="6" spans="1:32" s="1064" customFormat="1" ht="35.25" thickTop="1" thickBot="1" x14ac:dyDescent="0.3">
      <c r="A6" s="413" t="s">
        <v>201</v>
      </c>
      <c r="B6" s="413" t="s">
        <v>202</v>
      </c>
      <c r="C6" s="1063" t="s">
        <v>203</v>
      </c>
      <c r="D6" s="413" t="s">
        <v>204</v>
      </c>
      <c r="E6" s="413" t="s">
        <v>205</v>
      </c>
      <c r="F6" s="413" t="s">
        <v>206</v>
      </c>
      <c r="G6" s="413" t="s">
        <v>207</v>
      </c>
      <c r="H6" s="413" t="s">
        <v>208</v>
      </c>
      <c r="I6" s="504" t="s">
        <v>209</v>
      </c>
      <c r="J6" s="504"/>
      <c r="K6" s="1334"/>
      <c r="L6" s="1334"/>
      <c r="M6" s="598" t="s">
        <v>210</v>
      </c>
      <c r="N6" s="414" t="s">
        <v>211</v>
      </c>
      <c r="O6" s="1334"/>
      <c r="P6" s="598" t="s">
        <v>212</v>
      </c>
      <c r="Q6" s="598" t="s">
        <v>2634</v>
      </c>
      <c r="R6" s="598" t="s">
        <v>213</v>
      </c>
      <c r="S6" s="598" t="s">
        <v>2635</v>
      </c>
      <c r="T6" s="598" t="s">
        <v>214</v>
      </c>
      <c r="U6" s="598" t="s">
        <v>2636</v>
      </c>
      <c r="V6" s="415" t="s">
        <v>215</v>
      </c>
      <c r="W6" s="415" t="s">
        <v>2637</v>
      </c>
      <c r="X6" s="1366"/>
      <c r="Y6" s="1334"/>
      <c r="Z6" s="1361"/>
      <c r="AA6" s="1334"/>
      <c r="AB6" s="1333"/>
      <c r="AC6" s="1350"/>
    </row>
    <row r="7" spans="1:32" s="1072" customFormat="1" ht="16.5" thickTop="1" thickBot="1" x14ac:dyDescent="0.3">
      <c r="A7" s="1065" t="s">
        <v>216</v>
      </c>
      <c r="B7" s="1065"/>
      <c r="C7" s="1065"/>
      <c r="D7" s="1065"/>
      <c r="E7" s="1065"/>
      <c r="F7" s="1065"/>
      <c r="G7" s="1065"/>
      <c r="H7" s="1065"/>
      <c r="I7" s="1066"/>
      <c r="J7" s="1066"/>
      <c r="K7" s="1067" t="s">
        <v>217</v>
      </c>
      <c r="L7" s="1068">
        <f>+L8+L506+L513+L520</f>
        <v>88921409804</v>
      </c>
      <c r="M7" s="1068">
        <f t="shared" ref="M7:Z7" si="0">+M8+M506+M513+M519+M520</f>
        <v>25635450552</v>
      </c>
      <c r="N7" s="1068">
        <f t="shared" si="0"/>
        <v>0</v>
      </c>
      <c r="O7" s="1068">
        <f>+O8+O506+O513+O520</f>
        <v>114556860356</v>
      </c>
      <c r="P7" s="1068">
        <f t="shared" si="0"/>
        <v>19987928436</v>
      </c>
      <c r="Q7" s="1068"/>
      <c r="R7" s="1068">
        <f t="shared" si="0"/>
        <v>89805683410.960007</v>
      </c>
      <c r="S7" s="1068"/>
      <c r="T7" s="1068">
        <f t="shared" si="0"/>
        <v>1010700000.0399933</v>
      </c>
      <c r="U7" s="1068"/>
      <c r="V7" s="1068">
        <f t="shared" si="0"/>
        <v>3752548509</v>
      </c>
      <c r="W7" s="1068"/>
      <c r="X7" s="1068">
        <f t="shared" si="0"/>
        <v>0</v>
      </c>
      <c r="Y7" s="1068">
        <f t="shared" si="0"/>
        <v>53285204192</v>
      </c>
      <c r="Z7" s="1068">
        <f t="shared" si="0"/>
        <v>67744901157</v>
      </c>
      <c r="AA7" s="1069">
        <f>+AA8+AA506</f>
        <v>114030105349</v>
      </c>
      <c r="AB7" s="1070" t="e">
        <f t="shared" ref="AB7:AB17" si="1">+AA7/X7</f>
        <v>#DIV/0!</v>
      </c>
      <c r="AC7" s="1071"/>
      <c r="AE7" s="1073">
        <f>+Z7-75089617228</f>
        <v>-7344716071</v>
      </c>
    </row>
    <row r="8" spans="1:32" s="1078" customFormat="1" ht="16.5" thickTop="1" thickBot="1" x14ac:dyDescent="0.3">
      <c r="A8" s="417" t="s">
        <v>216</v>
      </c>
      <c r="B8" s="417" t="s">
        <v>216</v>
      </c>
      <c r="C8" s="417"/>
      <c r="D8" s="417"/>
      <c r="E8" s="417"/>
      <c r="F8" s="417"/>
      <c r="G8" s="417"/>
      <c r="H8" s="417"/>
      <c r="I8" s="419"/>
      <c r="J8" s="419"/>
      <c r="K8" s="1074" t="s">
        <v>218</v>
      </c>
      <c r="L8" s="1075">
        <f>+L9+L227</f>
        <v>77545180608</v>
      </c>
      <c r="M8" s="1075">
        <f t="shared" ref="M8:X8" si="2">+M9+M227</f>
        <v>25635450552</v>
      </c>
      <c r="N8" s="1075">
        <f t="shared" si="2"/>
        <v>0</v>
      </c>
      <c r="O8" s="1075">
        <f>+O9+O227</f>
        <v>103180631160</v>
      </c>
      <c r="P8" s="1075">
        <f t="shared" si="2"/>
        <v>17484228436</v>
      </c>
      <c r="Q8" s="1075"/>
      <c r="R8" s="1075">
        <f t="shared" si="2"/>
        <v>82805683410.960007</v>
      </c>
      <c r="S8" s="1075"/>
      <c r="T8" s="1075">
        <f t="shared" si="2"/>
        <v>1010700000.0399933</v>
      </c>
      <c r="U8" s="1075"/>
      <c r="V8" s="1075">
        <f t="shared" si="2"/>
        <v>1880019313</v>
      </c>
      <c r="W8" s="1075"/>
      <c r="X8" s="1075">
        <f t="shared" si="2"/>
        <v>0</v>
      </c>
      <c r="Y8" s="1075">
        <f>+Y9+Y227</f>
        <v>52071552192</v>
      </c>
      <c r="Z8" s="1075">
        <f>+Z9+Z227</f>
        <v>50585779249</v>
      </c>
      <c r="AA8" s="1069">
        <f>+Y8+Z8</f>
        <v>102657331441</v>
      </c>
      <c r="AB8" s="1076" t="e">
        <f t="shared" si="1"/>
        <v>#DIV/0!</v>
      </c>
      <c r="AC8" s="1077"/>
    </row>
    <row r="9" spans="1:32" s="1085" customFormat="1" ht="16.5" thickTop="1" thickBot="1" x14ac:dyDescent="0.3">
      <c r="A9" s="1079">
        <v>1</v>
      </c>
      <c r="B9" s="1080" t="s">
        <v>216</v>
      </c>
      <c r="C9" s="1080" t="s">
        <v>216</v>
      </c>
      <c r="D9" s="1080"/>
      <c r="E9" s="1080"/>
      <c r="F9" s="1080"/>
      <c r="G9" s="1080"/>
      <c r="H9" s="1080"/>
      <c r="I9" s="1080"/>
      <c r="J9" s="1080"/>
      <c r="K9" s="1081" t="s">
        <v>219</v>
      </c>
      <c r="L9" s="1082">
        <f>+L10+L25</f>
        <v>59234000000</v>
      </c>
      <c r="M9" s="1082">
        <f t="shared" ref="M9:X9" si="3">+M10+M25</f>
        <v>0</v>
      </c>
      <c r="N9" s="1082">
        <f t="shared" si="3"/>
        <v>0</v>
      </c>
      <c r="O9" s="1082">
        <f t="shared" si="3"/>
        <v>59234000000</v>
      </c>
      <c r="P9" s="1082">
        <f t="shared" si="3"/>
        <v>5324800000</v>
      </c>
      <c r="Q9" s="1082"/>
      <c r="R9" s="1082">
        <f t="shared" si="3"/>
        <v>52958600000</v>
      </c>
      <c r="S9" s="1082"/>
      <c r="T9" s="1082">
        <f t="shared" si="3"/>
        <v>950600000</v>
      </c>
      <c r="U9" s="1082"/>
      <c r="V9" s="1082">
        <f t="shared" si="3"/>
        <v>0</v>
      </c>
      <c r="W9" s="1082"/>
      <c r="X9" s="1082">
        <f t="shared" si="3"/>
        <v>0</v>
      </c>
      <c r="Y9" s="1082">
        <f>+Y10+Y25</f>
        <v>48334471331</v>
      </c>
      <c r="Z9" s="1082">
        <f>+Z10+Z25</f>
        <v>12860656675</v>
      </c>
      <c r="AA9" s="1069">
        <f>+Y9+Z9</f>
        <v>61195128006</v>
      </c>
      <c r="AB9" s="1083" t="e">
        <f t="shared" si="1"/>
        <v>#DIV/0!</v>
      </c>
      <c r="AC9" s="1084"/>
    </row>
    <row r="10" spans="1:32" s="1090" customFormat="1" ht="16.5" thickTop="1" thickBot="1" x14ac:dyDescent="0.3">
      <c r="A10" s="1086">
        <v>1</v>
      </c>
      <c r="B10" s="421" t="s">
        <v>216</v>
      </c>
      <c r="C10" s="421" t="s">
        <v>216</v>
      </c>
      <c r="D10" s="421" t="s">
        <v>220</v>
      </c>
      <c r="E10" s="421"/>
      <c r="F10" s="421"/>
      <c r="G10" s="421"/>
      <c r="H10" s="421"/>
      <c r="I10" s="421"/>
      <c r="J10" s="421"/>
      <c r="K10" s="1087" t="s">
        <v>221</v>
      </c>
      <c r="L10" s="1088">
        <f>+L11</f>
        <v>51738000000</v>
      </c>
      <c r="M10" s="1088">
        <f t="shared" ref="M10:X10" si="4">+M11</f>
        <v>0</v>
      </c>
      <c r="N10" s="1088">
        <f t="shared" si="4"/>
        <v>0</v>
      </c>
      <c r="O10" s="1088">
        <f>+O11</f>
        <v>51738000000</v>
      </c>
      <c r="P10" s="1088">
        <f t="shared" si="4"/>
        <v>4953800000</v>
      </c>
      <c r="Q10" s="1088"/>
      <c r="R10" s="1088">
        <f t="shared" si="4"/>
        <v>46784200000</v>
      </c>
      <c r="S10" s="1088"/>
      <c r="T10" s="1088">
        <f t="shared" si="4"/>
        <v>0</v>
      </c>
      <c r="U10" s="1088"/>
      <c r="V10" s="1088">
        <f t="shared" si="4"/>
        <v>0</v>
      </c>
      <c r="W10" s="1088"/>
      <c r="X10" s="1088">
        <f t="shared" si="4"/>
        <v>0</v>
      </c>
      <c r="Y10" s="1088">
        <f>+Y11</f>
        <v>43491933967</v>
      </c>
      <c r="Z10" s="1088">
        <f>+Z11</f>
        <v>8535376010</v>
      </c>
      <c r="AA10" s="1069">
        <f>+Y10+Z10</f>
        <v>52027309977</v>
      </c>
      <c r="AB10" s="1089" t="e">
        <f t="shared" si="1"/>
        <v>#DIV/0!</v>
      </c>
      <c r="AC10" s="511"/>
    </row>
    <row r="11" spans="1:32" s="1097" customFormat="1" ht="22.5" customHeight="1" thickTop="1" thickBot="1" x14ac:dyDescent="0.3">
      <c r="A11" s="1091">
        <v>1</v>
      </c>
      <c r="B11" s="1092" t="s">
        <v>216</v>
      </c>
      <c r="C11" s="1092" t="s">
        <v>216</v>
      </c>
      <c r="D11" s="1092" t="s">
        <v>220</v>
      </c>
      <c r="E11" s="1092" t="s">
        <v>220</v>
      </c>
      <c r="F11" s="1092"/>
      <c r="G11" s="1092"/>
      <c r="H11" s="1092"/>
      <c r="I11" s="1092"/>
      <c r="J11" s="1092"/>
      <c r="K11" s="1093" t="s">
        <v>222</v>
      </c>
      <c r="L11" s="1094">
        <f>+L12+L21</f>
        <v>51738000000</v>
      </c>
      <c r="M11" s="1094">
        <f t="shared" ref="M11:Y11" si="5">+M12+M21</f>
        <v>0</v>
      </c>
      <c r="N11" s="1094">
        <f t="shared" si="5"/>
        <v>0</v>
      </c>
      <c r="O11" s="1094">
        <f t="shared" si="5"/>
        <v>51738000000</v>
      </c>
      <c r="P11" s="1094">
        <f t="shared" si="5"/>
        <v>4953800000</v>
      </c>
      <c r="Q11" s="1094"/>
      <c r="R11" s="1094">
        <f t="shared" si="5"/>
        <v>46784200000</v>
      </c>
      <c r="S11" s="1094"/>
      <c r="T11" s="1094">
        <f t="shared" si="5"/>
        <v>0</v>
      </c>
      <c r="U11" s="1094"/>
      <c r="V11" s="1094">
        <f t="shared" si="5"/>
        <v>0</v>
      </c>
      <c r="W11" s="1094"/>
      <c r="X11" s="1094">
        <f t="shared" si="5"/>
        <v>0</v>
      </c>
      <c r="Y11" s="1094">
        <f t="shared" si="5"/>
        <v>43491933967</v>
      </c>
      <c r="Z11" s="1094">
        <f>+Z12</f>
        <v>8535376010</v>
      </c>
      <c r="AA11" s="1069">
        <f>+Y11+Z11</f>
        <v>52027309977</v>
      </c>
      <c r="AB11" s="1095" t="e">
        <f t="shared" si="1"/>
        <v>#DIV/0!</v>
      </c>
      <c r="AC11" s="1096"/>
    </row>
    <row r="12" spans="1:32" s="1104" customFormat="1" ht="22.5" customHeight="1" thickTop="1" thickBot="1" x14ac:dyDescent="0.3">
      <c r="A12" s="1098">
        <v>1</v>
      </c>
      <c r="B12" s="1098">
        <v>1</v>
      </c>
      <c r="C12" s="1098">
        <v>1</v>
      </c>
      <c r="D12" s="1099" t="s">
        <v>220</v>
      </c>
      <c r="E12" s="1099" t="s">
        <v>220</v>
      </c>
      <c r="F12" s="1099" t="s">
        <v>223</v>
      </c>
      <c r="G12" s="1099"/>
      <c r="H12" s="1099"/>
      <c r="I12" s="1099"/>
      <c r="J12" s="1099"/>
      <c r="K12" s="1100" t="s">
        <v>224</v>
      </c>
      <c r="L12" s="1101">
        <f>+L13+L17</f>
        <v>51738000000</v>
      </c>
      <c r="M12" s="1101">
        <f t="shared" ref="M12:X12" si="6">+M13+M17</f>
        <v>0</v>
      </c>
      <c r="N12" s="1101">
        <f t="shared" si="6"/>
        <v>0</v>
      </c>
      <c r="O12" s="1101">
        <f t="shared" si="6"/>
        <v>51738000000</v>
      </c>
      <c r="P12" s="1101">
        <f t="shared" si="6"/>
        <v>4953800000</v>
      </c>
      <c r="Q12" s="1101"/>
      <c r="R12" s="1101">
        <f t="shared" si="6"/>
        <v>46784200000</v>
      </c>
      <c r="S12" s="1101"/>
      <c r="T12" s="1101">
        <f t="shared" si="6"/>
        <v>0</v>
      </c>
      <c r="U12" s="1101"/>
      <c r="V12" s="1101">
        <f t="shared" si="6"/>
        <v>0</v>
      </c>
      <c r="W12" s="1101"/>
      <c r="X12" s="1101">
        <f t="shared" si="6"/>
        <v>0</v>
      </c>
      <c r="Y12" s="1101">
        <f>+Y13+Y17</f>
        <v>43491933967</v>
      </c>
      <c r="Z12" s="1101">
        <f>+Z13+Z17</f>
        <v>8535376010</v>
      </c>
      <c r="AA12" s="1069">
        <f t="shared" ref="AA12:AA24" si="7">+Y12+Z12</f>
        <v>52027309977</v>
      </c>
      <c r="AB12" s="1102" t="e">
        <f t="shared" si="1"/>
        <v>#DIV/0!</v>
      </c>
      <c r="AC12" s="1103"/>
    </row>
    <row r="13" spans="1:32" s="1062" customFormat="1" ht="22.5" customHeight="1" thickTop="1" thickBot="1" x14ac:dyDescent="0.3">
      <c r="A13" s="424">
        <v>1</v>
      </c>
      <c r="B13" s="424">
        <v>1</v>
      </c>
      <c r="C13" s="424">
        <v>1</v>
      </c>
      <c r="D13" s="519" t="s">
        <v>220</v>
      </c>
      <c r="E13" s="519" t="s">
        <v>220</v>
      </c>
      <c r="F13" s="519" t="s">
        <v>223</v>
      </c>
      <c r="G13" s="519" t="s">
        <v>220</v>
      </c>
      <c r="H13" s="519"/>
      <c r="I13" s="519"/>
      <c r="J13" s="519"/>
      <c r="K13" s="1105" t="s">
        <v>225</v>
      </c>
      <c r="L13" s="1106">
        <f>SUBTOTAL(9,L14:L16)</f>
        <v>50000000000</v>
      </c>
      <c r="M13" s="1106">
        <f t="shared" ref="M13:Z13" si="8">SUBTOTAL(9,M14:M16)</f>
        <v>0</v>
      </c>
      <c r="N13" s="1106">
        <f t="shared" si="8"/>
        <v>0</v>
      </c>
      <c r="O13" s="1106">
        <f t="shared" si="8"/>
        <v>50000000000</v>
      </c>
      <c r="P13" s="1106">
        <f t="shared" si="8"/>
        <v>4780000000</v>
      </c>
      <c r="Q13" s="1106"/>
      <c r="R13" s="1106">
        <f t="shared" si="8"/>
        <v>45220000000</v>
      </c>
      <c r="S13" s="1106"/>
      <c r="T13" s="1106">
        <f t="shared" si="8"/>
        <v>0</v>
      </c>
      <c r="U13" s="1106"/>
      <c r="V13" s="1106">
        <f t="shared" si="8"/>
        <v>0</v>
      </c>
      <c r="W13" s="1106"/>
      <c r="X13" s="1106">
        <f t="shared" si="8"/>
        <v>0</v>
      </c>
      <c r="Y13" s="1106">
        <f t="shared" si="8"/>
        <v>41970977649</v>
      </c>
      <c r="Z13" s="1106">
        <f t="shared" si="8"/>
        <v>7685926663</v>
      </c>
      <c r="AA13" s="1069">
        <f t="shared" si="7"/>
        <v>49656904312</v>
      </c>
      <c r="AB13" s="1107" t="e">
        <f t="shared" si="1"/>
        <v>#DIV/0!</v>
      </c>
      <c r="AC13" s="522"/>
      <c r="AE13" s="1062" t="s">
        <v>849</v>
      </c>
    </row>
    <row r="14" spans="1:32" ht="22.5" customHeight="1" thickTop="1" thickBot="1" x14ac:dyDescent="0.3">
      <c r="A14" s="425">
        <v>1</v>
      </c>
      <c r="B14" s="425">
        <v>1</v>
      </c>
      <c r="C14" s="425">
        <v>1</v>
      </c>
      <c r="D14" s="505" t="s">
        <v>220</v>
      </c>
      <c r="E14" s="505" t="s">
        <v>220</v>
      </c>
      <c r="F14" s="505" t="s">
        <v>223</v>
      </c>
      <c r="G14" s="505" t="s">
        <v>220</v>
      </c>
      <c r="H14" s="505" t="s">
        <v>216</v>
      </c>
      <c r="I14" s="505"/>
      <c r="J14" s="505"/>
      <c r="K14" s="1108" t="s">
        <v>226</v>
      </c>
      <c r="L14" s="1109">
        <f>+'[6]EJECUCION DE INGRESOS A CORTE 3'!D5</f>
        <v>50000000000</v>
      </c>
      <c r="M14" s="1110"/>
      <c r="N14" s="1110"/>
      <c r="O14" s="1111">
        <f>+L14+M14-N14</f>
        <v>50000000000</v>
      </c>
      <c r="P14" s="1111">
        <f>+O14*Q14-220000000</f>
        <v>4780000000</v>
      </c>
      <c r="Q14" s="745">
        <v>0.1</v>
      </c>
      <c r="R14" s="1111">
        <f>+O14*S14+220000000</f>
        <v>45220000000</v>
      </c>
      <c r="S14" s="745">
        <v>0.9</v>
      </c>
      <c r="T14" s="1110"/>
      <c r="U14" s="1110"/>
      <c r="V14" s="1110"/>
      <c r="W14" s="1110"/>
      <c r="X14" s="1110"/>
      <c r="Y14" s="1111">
        <v>41970977649</v>
      </c>
      <c r="Z14" s="1112">
        <v>7685926663</v>
      </c>
      <c r="AA14" s="1069">
        <f t="shared" si="7"/>
        <v>49656904312</v>
      </c>
      <c r="AB14" s="1113" t="e">
        <f t="shared" si="1"/>
        <v>#DIV/0!</v>
      </c>
      <c r="AC14" s="729"/>
      <c r="AE14" s="1116">
        <f>+R14+R18+R29+R39+R43+R51+R55+R59+R63+R67+R75+R97+R136+R310+R394+R397+R405+R519</f>
        <v>89805683410.960007</v>
      </c>
    </row>
    <row r="15" spans="1:32" ht="22.5" hidden="1" customHeight="1" thickTop="1" thickBot="1" x14ac:dyDescent="0.3">
      <c r="A15" s="425">
        <v>1</v>
      </c>
      <c r="B15" s="425">
        <v>1</v>
      </c>
      <c r="C15" s="425">
        <v>1</v>
      </c>
      <c r="D15" s="505" t="s">
        <v>220</v>
      </c>
      <c r="E15" s="505" t="s">
        <v>220</v>
      </c>
      <c r="F15" s="505" t="s">
        <v>223</v>
      </c>
      <c r="G15" s="505" t="s">
        <v>220</v>
      </c>
      <c r="H15" s="505" t="s">
        <v>227</v>
      </c>
      <c r="I15" s="505"/>
      <c r="J15" s="505"/>
      <c r="K15" s="609" t="s">
        <v>228</v>
      </c>
      <c r="L15" s="1109"/>
      <c r="M15" s="1110"/>
      <c r="N15" s="1110"/>
      <c r="O15" s="1110">
        <f>+L15+M15-N15</f>
        <v>0</v>
      </c>
      <c r="P15" s="1110"/>
      <c r="Q15" s="1110"/>
      <c r="R15" s="1110">
        <f>+O15</f>
        <v>0</v>
      </c>
      <c r="S15" s="1110"/>
      <c r="T15" s="1110"/>
      <c r="U15" s="1110"/>
      <c r="V15" s="1110"/>
      <c r="W15" s="1110">
        <f>+Y8-52071552192</f>
        <v>0</v>
      </c>
      <c r="X15" s="1110"/>
      <c r="Y15" s="1110"/>
      <c r="Z15" s="1110"/>
      <c r="AA15" s="1069">
        <f t="shared" si="7"/>
        <v>0</v>
      </c>
      <c r="AB15" s="1113" t="e">
        <f t="shared" si="1"/>
        <v>#DIV/0!</v>
      </c>
      <c r="AC15" s="729"/>
      <c r="AF15" s="1114" t="s">
        <v>849</v>
      </c>
    </row>
    <row r="16" spans="1:32" ht="22.5" hidden="1" customHeight="1" thickTop="1" thickBot="1" x14ac:dyDescent="0.3">
      <c r="A16" s="425">
        <v>1</v>
      </c>
      <c r="B16" s="425">
        <v>1</v>
      </c>
      <c r="C16" s="425">
        <v>1</v>
      </c>
      <c r="D16" s="505" t="s">
        <v>220</v>
      </c>
      <c r="E16" s="505" t="s">
        <v>220</v>
      </c>
      <c r="F16" s="505" t="s">
        <v>223</v>
      </c>
      <c r="G16" s="505" t="s">
        <v>220</v>
      </c>
      <c r="H16" s="505" t="s">
        <v>229</v>
      </c>
      <c r="I16" s="505"/>
      <c r="J16" s="505"/>
      <c r="K16" s="609" t="s">
        <v>230</v>
      </c>
      <c r="L16" s="1110"/>
      <c r="M16" s="1110"/>
      <c r="N16" s="1110"/>
      <c r="O16" s="1110">
        <f t="shared" ref="O16" si="9">+L16+M16-N16</f>
        <v>0</v>
      </c>
      <c r="P16" s="1110"/>
      <c r="Q16" s="1110"/>
      <c r="R16" s="1110"/>
      <c r="S16" s="1110"/>
      <c r="T16" s="1110"/>
      <c r="U16" s="1110"/>
      <c r="V16" s="1110"/>
      <c r="W16" s="1110"/>
      <c r="X16" s="1110"/>
      <c r="Y16" s="1110"/>
      <c r="Z16" s="1110"/>
      <c r="AA16" s="1069">
        <f t="shared" si="7"/>
        <v>0</v>
      </c>
      <c r="AB16" s="1113" t="e">
        <f t="shared" si="1"/>
        <v>#DIV/0!</v>
      </c>
      <c r="AC16" s="729"/>
      <c r="AE16" s="1114" t="s">
        <v>849</v>
      </c>
      <c r="AF16" s="1114" t="s">
        <v>849</v>
      </c>
    </row>
    <row r="17" spans="1:33" s="1062" customFormat="1" ht="22.5" customHeight="1" thickTop="1" thickBot="1" x14ac:dyDescent="0.3">
      <c r="A17" s="424">
        <v>1</v>
      </c>
      <c r="B17" s="424">
        <v>1</v>
      </c>
      <c r="C17" s="424">
        <v>1</v>
      </c>
      <c r="D17" s="519" t="s">
        <v>220</v>
      </c>
      <c r="E17" s="519" t="s">
        <v>220</v>
      </c>
      <c r="F17" s="519" t="s">
        <v>223</v>
      </c>
      <c r="G17" s="519" t="s">
        <v>231</v>
      </c>
      <c r="H17" s="519"/>
      <c r="I17" s="519"/>
      <c r="J17" s="519"/>
      <c r="K17" s="1105" t="s">
        <v>232</v>
      </c>
      <c r="L17" s="1106">
        <f>SUBTOTAL(9,L18:L20)</f>
        <v>1738000000</v>
      </c>
      <c r="M17" s="1106">
        <f t="shared" ref="M17:Z17" si="10">SUBTOTAL(9,M18:M20)</f>
        <v>0</v>
      </c>
      <c r="N17" s="1106">
        <f t="shared" si="10"/>
        <v>0</v>
      </c>
      <c r="O17" s="1106">
        <f t="shared" si="10"/>
        <v>1738000000</v>
      </c>
      <c r="P17" s="1106">
        <f t="shared" si="10"/>
        <v>173800000</v>
      </c>
      <c r="Q17" s="1106"/>
      <c r="R17" s="1106">
        <f t="shared" si="10"/>
        <v>1564200000</v>
      </c>
      <c r="S17" s="1106"/>
      <c r="T17" s="1106">
        <f t="shared" si="10"/>
        <v>0</v>
      </c>
      <c r="U17" s="1106"/>
      <c r="V17" s="1106">
        <f t="shared" si="10"/>
        <v>0</v>
      </c>
      <c r="W17" s="1106"/>
      <c r="X17" s="1106">
        <f t="shared" si="10"/>
        <v>0</v>
      </c>
      <c r="Y17" s="1106">
        <f t="shared" si="10"/>
        <v>1520956318</v>
      </c>
      <c r="Z17" s="1106">
        <f t="shared" si="10"/>
        <v>849449347</v>
      </c>
      <c r="AA17" s="1069">
        <f t="shared" si="7"/>
        <v>2370405665</v>
      </c>
      <c r="AB17" s="1107" t="e">
        <f t="shared" si="1"/>
        <v>#DIV/0!</v>
      </c>
      <c r="AC17" s="522"/>
      <c r="AE17" s="1115" t="s">
        <v>849</v>
      </c>
      <c r="AF17" s="1115" t="s">
        <v>849</v>
      </c>
      <c r="AG17" s="1115" t="s">
        <v>849</v>
      </c>
    </row>
    <row r="18" spans="1:33" ht="22.5" customHeight="1" thickTop="1" thickBot="1" x14ac:dyDescent="0.3">
      <c r="A18" s="425">
        <v>1</v>
      </c>
      <c r="B18" s="425">
        <v>1</v>
      </c>
      <c r="C18" s="425">
        <v>1</v>
      </c>
      <c r="D18" s="505" t="s">
        <v>220</v>
      </c>
      <c r="E18" s="505" t="s">
        <v>220</v>
      </c>
      <c r="F18" s="505" t="s">
        <v>223</v>
      </c>
      <c r="G18" s="505" t="s">
        <v>231</v>
      </c>
      <c r="H18" s="505" t="s">
        <v>216</v>
      </c>
      <c r="I18" s="505"/>
      <c r="J18" s="505"/>
      <c r="K18" s="1108" t="s">
        <v>233</v>
      </c>
      <c r="L18" s="1109">
        <f>+'[6]EJECUCION DE INGRESOS A CORTE 3'!D6</f>
        <v>1738000000</v>
      </c>
      <c r="M18" s="1110"/>
      <c r="N18" s="1110"/>
      <c r="O18" s="1111">
        <f>+L18+M18-N18</f>
        <v>1738000000</v>
      </c>
      <c r="P18" s="1111">
        <f>+O18*Q18</f>
        <v>173800000</v>
      </c>
      <c r="Q18" s="745">
        <v>0.1</v>
      </c>
      <c r="R18" s="1111">
        <f>+O18*S18</f>
        <v>1564200000</v>
      </c>
      <c r="S18" s="745">
        <v>0.9</v>
      </c>
      <c r="T18" s="1110"/>
      <c r="U18" s="1110"/>
      <c r="V18" s="1110"/>
      <c r="W18" s="1110"/>
      <c r="X18" s="1110"/>
      <c r="Y18" s="1111">
        <v>1520956318</v>
      </c>
      <c r="Z18" s="1112">
        <v>849449347</v>
      </c>
      <c r="AA18" s="1069">
        <f t="shared" si="7"/>
        <v>2370405665</v>
      </c>
      <c r="AB18" s="1113" t="e">
        <f>+AA28/X18</f>
        <v>#DIV/0!</v>
      </c>
      <c r="AC18" s="729"/>
      <c r="AE18" s="1114" t="s">
        <v>849</v>
      </c>
      <c r="AF18" s="1114" t="s">
        <v>849</v>
      </c>
      <c r="AG18" s="1116" t="s">
        <v>849</v>
      </c>
    </row>
    <row r="19" spans="1:33" ht="22.5" hidden="1" customHeight="1" thickTop="1" thickBot="1" x14ac:dyDescent="0.3">
      <c r="A19" s="425">
        <v>1</v>
      </c>
      <c r="B19" s="425">
        <v>1</v>
      </c>
      <c r="C19" s="425">
        <v>1</v>
      </c>
      <c r="D19" s="505" t="s">
        <v>220</v>
      </c>
      <c r="E19" s="505" t="s">
        <v>220</v>
      </c>
      <c r="F19" s="505" t="s">
        <v>223</v>
      </c>
      <c r="G19" s="505" t="s">
        <v>231</v>
      </c>
      <c r="H19" s="505" t="s">
        <v>227</v>
      </c>
      <c r="I19" s="505"/>
      <c r="J19" s="505"/>
      <c r="K19" s="609" t="s">
        <v>234</v>
      </c>
      <c r="L19" s="1110"/>
      <c r="M19" s="1110"/>
      <c r="N19" s="1110"/>
      <c r="O19" s="1110">
        <f>+L19+M19-N19</f>
        <v>0</v>
      </c>
      <c r="P19" s="1110"/>
      <c r="Q19" s="1110"/>
      <c r="R19" s="1110"/>
      <c r="S19" s="1110"/>
      <c r="T19" s="1110"/>
      <c r="U19" s="1110"/>
      <c r="V19" s="1110"/>
      <c r="W19" s="1110"/>
      <c r="X19" s="1110"/>
      <c r="Y19" s="1110"/>
      <c r="Z19" s="1110"/>
      <c r="AA19" s="1069">
        <f t="shared" si="7"/>
        <v>0</v>
      </c>
      <c r="AB19" s="1113" t="e">
        <f t="shared" ref="AB19:AB27" si="11">+AA19/X19</f>
        <v>#DIV/0!</v>
      </c>
      <c r="AC19" s="729"/>
      <c r="AE19" s="1114" t="s">
        <v>849</v>
      </c>
      <c r="AF19" s="1114" t="s">
        <v>849</v>
      </c>
    </row>
    <row r="20" spans="1:33" ht="22.5" hidden="1" customHeight="1" thickTop="1" thickBot="1" x14ac:dyDescent="0.3">
      <c r="A20" s="425">
        <v>1</v>
      </c>
      <c r="B20" s="425">
        <v>1</v>
      </c>
      <c r="C20" s="425">
        <v>1</v>
      </c>
      <c r="D20" s="505" t="s">
        <v>220</v>
      </c>
      <c r="E20" s="505" t="s">
        <v>220</v>
      </c>
      <c r="F20" s="505" t="s">
        <v>223</v>
      </c>
      <c r="G20" s="505" t="s">
        <v>231</v>
      </c>
      <c r="H20" s="505" t="s">
        <v>229</v>
      </c>
      <c r="I20" s="505"/>
      <c r="J20" s="505"/>
      <c r="K20" s="609" t="s">
        <v>235</v>
      </c>
      <c r="L20" s="1110"/>
      <c r="M20" s="1110"/>
      <c r="N20" s="1110"/>
      <c r="O20" s="1110">
        <f>+L20+M20-N20</f>
        <v>0</v>
      </c>
      <c r="P20" s="1110"/>
      <c r="Q20" s="1110"/>
      <c r="R20" s="1110"/>
      <c r="S20" s="1110"/>
      <c r="T20" s="1110"/>
      <c r="U20" s="1110"/>
      <c r="V20" s="1110"/>
      <c r="W20" s="1110"/>
      <c r="X20" s="1110"/>
      <c r="Y20" s="1110"/>
      <c r="Z20" s="1110"/>
      <c r="AA20" s="1069">
        <f t="shared" si="7"/>
        <v>0</v>
      </c>
      <c r="AB20" s="1113" t="e">
        <f t="shared" si="11"/>
        <v>#DIV/0!</v>
      </c>
      <c r="AC20" s="729"/>
      <c r="AE20" s="1114" t="s">
        <v>849</v>
      </c>
      <c r="AF20" s="1116" t="s">
        <v>849</v>
      </c>
    </row>
    <row r="21" spans="1:33" s="1104" customFormat="1" ht="22.5" hidden="1" customHeight="1" thickTop="1" thickBot="1" x14ac:dyDescent="0.3">
      <c r="A21" s="1098">
        <v>1</v>
      </c>
      <c r="B21" s="1098">
        <v>1</v>
      </c>
      <c r="C21" s="1098">
        <v>1</v>
      </c>
      <c r="D21" s="1099" t="s">
        <v>220</v>
      </c>
      <c r="E21" s="1099" t="s">
        <v>220</v>
      </c>
      <c r="F21" s="1099" t="s">
        <v>236</v>
      </c>
      <c r="G21" s="1117"/>
      <c r="H21" s="1099"/>
      <c r="I21" s="1099"/>
      <c r="J21" s="1099"/>
      <c r="K21" s="1100" t="s">
        <v>237</v>
      </c>
      <c r="L21" s="1101">
        <f>SUBTOTAL(9,L22:L24)</f>
        <v>0</v>
      </c>
      <c r="M21" s="1101">
        <f t="shared" ref="M21:Z21" si="12">SUBTOTAL(9,M22:M24)</f>
        <v>0</v>
      </c>
      <c r="N21" s="1101">
        <f t="shared" si="12"/>
        <v>0</v>
      </c>
      <c r="O21" s="1101">
        <f t="shared" si="12"/>
        <v>0</v>
      </c>
      <c r="P21" s="1101">
        <f t="shared" si="12"/>
        <v>0</v>
      </c>
      <c r="Q21" s="1101"/>
      <c r="R21" s="1101">
        <f t="shared" si="12"/>
        <v>0</v>
      </c>
      <c r="S21" s="1101"/>
      <c r="T21" s="1101">
        <f t="shared" si="12"/>
        <v>0</v>
      </c>
      <c r="U21" s="1101"/>
      <c r="V21" s="1101">
        <f t="shared" si="12"/>
        <v>0</v>
      </c>
      <c r="W21" s="1101"/>
      <c r="X21" s="1101">
        <f t="shared" si="12"/>
        <v>0</v>
      </c>
      <c r="Y21" s="1101">
        <f t="shared" si="12"/>
        <v>0</v>
      </c>
      <c r="Z21" s="1101">
        <f t="shared" si="12"/>
        <v>0</v>
      </c>
      <c r="AA21" s="1069">
        <f t="shared" si="7"/>
        <v>0</v>
      </c>
      <c r="AB21" s="1102" t="e">
        <f t="shared" si="11"/>
        <v>#DIV/0!</v>
      </c>
      <c r="AC21" s="1103"/>
      <c r="AE21" s="1118" t="s">
        <v>849</v>
      </c>
      <c r="AF21" s="1104" t="s">
        <v>849</v>
      </c>
    </row>
    <row r="22" spans="1:33" ht="22.5" hidden="1" customHeight="1" thickTop="1" thickBot="1" x14ac:dyDescent="0.3">
      <c r="A22" s="425">
        <v>1</v>
      </c>
      <c r="B22" s="425">
        <v>1</v>
      </c>
      <c r="C22" s="425">
        <v>1</v>
      </c>
      <c r="D22" s="505" t="s">
        <v>220</v>
      </c>
      <c r="E22" s="505" t="s">
        <v>220</v>
      </c>
      <c r="F22" s="505" t="s">
        <v>236</v>
      </c>
      <c r="G22" s="525">
        <v>1</v>
      </c>
      <c r="H22" s="505"/>
      <c r="I22" s="505"/>
      <c r="J22" s="505"/>
      <c r="K22" s="609" t="s">
        <v>238</v>
      </c>
      <c r="L22" s="1110"/>
      <c r="M22" s="1110"/>
      <c r="N22" s="1110"/>
      <c r="O22" s="1110">
        <f>+L22+M22-N22</f>
        <v>0</v>
      </c>
      <c r="P22" s="1110"/>
      <c r="Q22" s="1110"/>
      <c r="R22" s="1110"/>
      <c r="S22" s="1110"/>
      <c r="T22" s="1110"/>
      <c r="U22" s="1110"/>
      <c r="V22" s="1110"/>
      <c r="W22" s="1110"/>
      <c r="X22" s="1110"/>
      <c r="Y22" s="1110"/>
      <c r="Z22" s="1110"/>
      <c r="AA22" s="1069">
        <f t="shared" si="7"/>
        <v>0</v>
      </c>
      <c r="AB22" s="1113" t="e">
        <f t="shared" si="11"/>
        <v>#DIV/0!</v>
      </c>
      <c r="AC22" s="729"/>
      <c r="AE22" s="1114" t="s">
        <v>849</v>
      </c>
      <c r="AF22" s="1114" t="s">
        <v>849</v>
      </c>
    </row>
    <row r="23" spans="1:33" ht="22.5" hidden="1" customHeight="1" thickTop="1" thickBot="1" x14ac:dyDescent="0.3">
      <c r="A23" s="425">
        <v>1</v>
      </c>
      <c r="B23" s="425">
        <v>1</v>
      </c>
      <c r="C23" s="425">
        <v>1</v>
      </c>
      <c r="D23" s="505" t="s">
        <v>220</v>
      </c>
      <c r="E23" s="505" t="s">
        <v>220</v>
      </c>
      <c r="F23" s="505" t="s">
        <v>236</v>
      </c>
      <c r="G23" s="525">
        <v>2</v>
      </c>
      <c r="H23" s="505"/>
      <c r="I23" s="505"/>
      <c r="J23" s="505"/>
      <c r="K23" s="609" t="s">
        <v>239</v>
      </c>
      <c r="L23" s="1110"/>
      <c r="M23" s="1110"/>
      <c r="N23" s="1110"/>
      <c r="O23" s="1110">
        <f>+L23+M23-N23</f>
        <v>0</v>
      </c>
      <c r="P23" s="1110"/>
      <c r="Q23" s="1110"/>
      <c r="R23" s="1110"/>
      <c r="S23" s="1110"/>
      <c r="T23" s="1110"/>
      <c r="U23" s="1110"/>
      <c r="V23" s="1110"/>
      <c r="W23" s="1110"/>
      <c r="X23" s="1110"/>
      <c r="Y23" s="1110"/>
      <c r="Z23" s="1110"/>
      <c r="AA23" s="1069">
        <f t="shared" si="7"/>
        <v>0</v>
      </c>
      <c r="AB23" s="1113" t="e">
        <f t="shared" si="11"/>
        <v>#DIV/0!</v>
      </c>
      <c r="AC23" s="729"/>
      <c r="AE23" s="1114" t="s">
        <v>849</v>
      </c>
      <c r="AF23" s="1114" t="s">
        <v>849</v>
      </c>
    </row>
    <row r="24" spans="1:33" ht="22.5" hidden="1" customHeight="1" thickTop="1" thickBot="1" x14ac:dyDescent="0.3">
      <c r="A24" s="425">
        <v>1</v>
      </c>
      <c r="B24" s="425">
        <v>1</v>
      </c>
      <c r="C24" s="425">
        <v>1</v>
      </c>
      <c r="D24" s="505" t="s">
        <v>220</v>
      </c>
      <c r="E24" s="505" t="s">
        <v>220</v>
      </c>
      <c r="F24" s="505" t="s">
        <v>236</v>
      </c>
      <c r="G24" s="525">
        <v>3</v>
      </c>
      <c r="H24" s="505"/>
      <c r="I24" s="505"/>
      <c r="J24" s="505"/>
      <c r="K24" s="609" t="s">
        <v>240</v>
      </c>
      <c r="L24" s="1110"/>
      <c r="M24" s="1110"/>
      <c r="N24" s="1110"/>
      <c r="O24" s="1110">
        <f>+L24+M24-N24</f>
        <v>0</v>
      </c>
      <c r="P24" s="1110"/>
      <c r="Q24" s="1110"/>
      <c r="R24" s="1110"/>
      <c r="S24" s="1110"/>
      <c r="T24" s="1110"/>
      <c r="U24" s="1110"/>
      <c r="V24" s="1110"/>
      <c r="W24" s="1110" t="s">
        <v>849</v>
      </c>
      <c r="X24" s="1110"/>
      <c r="Y24" s="1110"/>
      <c r="Z24" s="1110"/>
      <c r="AA24" s="1069">
        <f t="shared" si="7"/>
        <v>0</v>
      </c>
      <c r="AB24" s="1113" t="e">
        <f t="shared" si="11"/>
        <v>#DIV/0!</v>
      </c>
      <c r="AC24" s="729"/>
      <c r="AE24" s="1116" t="s">
        <v>849</v>
      </c>
      <c r="AF24" s="1114" t="s">
        <v>849</v>
      </c>
    </row>
    <row r="25" spans="1:33" s="1090" customFormat="1" ht="22.5" customHeight="1" thickTop="1" thickBot="1" x14ac:dyDescent="0.3">
      <c r="A25" s="1086">
        <v>1</v>
      </c>
      <c r="B25" s="421" t="s">
        <v>216</v>
      </c>
      <c r="C25" s="421" t="s">
        <v>216</v>
      </c>
      <c r="D25" s="421" t="s">
        <v>231</v>
      </c>
      <c r="E25" s="421"/>
      <c r="F25" s="421"/>
      <c r="G25" s="1119"/>
      <c r="H25" s="421"/>
      <c r="I25" s="421"/>
      <c r="J25" s="421"/>
      <c r="K25" s="1087" t="s">
        <v>241</v>
      </c>
      <c r="L25" s="1088">
        <f>+L26+L37+L78+L101+L187</f>
        <v>7496000000</v>
      </c>
      <c r="M25" s="1088">
        <f t="shared" ref="M25:X25" si="13">+M26+M37+M78+M101+M187</f>
        <v>0</v>
      </c>
      <c r="N25" s="1088">
        <f t="shared" si="13"/>
        <v>0</v>
      </c>
      <c r="O25" s="1088">
        <f t="shared" si="13"/>
        <v>7496000000</v>
      </c>
      <c r="P25" s="1088">
        <f t="shared" si="13"/>
        <v>371000000</v>
      </c>
      <c r="Q25" s="1088"/>
      <c r="R25" s="1088">
        <f t="shared" si="13"/>
        <v>6174400000</v>
      </c>
      <c r="S25" s="1088"/>
      <c r="T25" s="1088">
        <f t="shared" si="13"/>
        <v>950600000</v>
      </c>
      <c r="U25" s="1088"/>
      <c r="V25" s="1088">
        <f t="shared" si="13"/>
        <v>0</v>
      </c>
      <c r="W25" s="1088" t="s">
        <v>849</v>
      </c>
      <c r="X25" s="1088">
        <f t="shared" si="13"/>
        <v>0</v>
      </c>
      <c r="Y25" s="1088">
        <f>+Y26+Y37+Y78+Y101+Y187</f>
        <v>4842537364</v>
      </c>
      <c r="Z25" s="1088">
        <f t="shared" ref="Z25" si="14">+Z26+Z37+Z78+Z101+Z187</f>
        <v>4325280665</v>
      </c>
      <c r="AA25" s="1069">
        <f>+Y25+Z25</f>
        <v>9167818029</v>
      </c>
      <c r="AB25" s="1089" t="e">
        <f t="shared" si="11"/>
        <v>#DIV/0!</v>
      </c>
      <c r="AC25" s="511" t="s">
        <v>849</v>
      </c>
    </row>
    <row r="26" spans="1:33" s="1097" customFormat="1" ht="22.5" customHeight="1" thickTop="1" thickBot="1" x14ac:dyDescent="0.3">
      <c r="A26" s="1091">
        <v>1</v>
      </c>
      <c r="B26" s="1092" t="s">
        <v>216</v>
      </c>
      <c r="C26" s="1092" t="s">
        <v>216</v>
      </c>
      <c r="D26" s="1092" t="s">
        <v>231</v>
      </c>
      <c r="E26" s="1092" t="s">
        <v>220</v>
      </c>
      <c r="F26" s="1092"/>
      <c r="G26" s="1120"/>
      <c r="H26" s="1092"/>
      <c r="I26" s="1092"/>
      <c r="J26" s="1092"/>
      <c r="K26" s="1093" t="s">
        <v>242</v>
      </c>
      <c r="L26" s="1094">
        <f>+L27</f>
        <v>3710000000</v>
      </c>
      <c r="M26" s="1094">
        <f t="shared" ref="M26:Z27" si="15">+M27</f>
        <v>0</v>
      </c>
      <c r="N26" s="1094">
        <f t="shared" si="15"/>
        <v>0</v>
      </c>
      <c r="O26" s="1094">
        <f t="shared" si="15"/>
        <v>3710000000</v>
      </c>
      <c r="P26" s="1094">
        <f t="shared" si="15"/>
        <v>371000000</v>
      </c>
      <c r="Q26" s="1094"/>
      <c r="R26" s="1094">
        <f t="shared" si="15"/>
        <v>2597000000</v>
      </c>
      <c r="S26" s="1094"/>
      <c r="T26" s="1094">
        <f t="shared" si="15"/>
        <v>742000000</v>
      </c>
      <c r="U26" s="1094"/>
      <c r="V26" s="1094">
        <f t="shared" si="15"/>
        <v>0</v>
      </c>
      <c r="W26" s="1094"/>
      <c r="X26" s="1094">
        <f t="shared" si="15"/>
        <v>0</v>
      </c>
      <c r="Y26" s="1094">
        <f t="shared" si="15"/>
        <v>2189048031</v>
      </c>
      <c r="Z26" s="1094">
        <f t="shared" si="15"/>
        <v>2351463428</v>
      </c>
      <c r="AA26" s="1069">
        <f t="shared" ref="AA26:AA89" si="16">+Y26+Z26</f>
        <v>4540511459</v>
      </c>
      <c r="AB26" s="1095" t="e">
        <f t="shared" si="11"/>
        <v>#DIV/0!</v>
      </c>
      <c r="AC26" s="1096"/>
    </row>
    <row r="27" spans="1:33" s="1104" customFormat="1" ht="22.5" customHeight="1" thickTop="1" thickBot="1" x14ac:dyDescent="0.3">
      <c r="A27" s="1098">
        <v>1</v>
      </c>
      <c r="B27" s="1099" t="s">
        <v>216</v>
      </c>
      <c r="C27" s="1099" t="s">
        <v>216</v>
      </c>
      <c r="D27" s="1099" t="s">
        <v>231</v>
      </c>
      <c r="E27" s="1099" t="s">
        <v>220</v>
      </c>
      <c r="F27" s="1099" t="s">
        <v>243</v>
      </c>
      <c r="G27" s="1117"/>
      <c r="H27" s="1099"/>
      <c r="I27" s="1099"/>
      <c r="J27" s="1099"/>
      <c r="K27" s="1100" t="s">
        <v>244</v>
      </c>
      <c r="L27" s="1101">
        <f>+L28</f>
        <v>3710000000</v>
      </c>
      <c r="M27" s="1101">
        <f t="shared" si="15"/>
        <v>0</v>
      </c>
      <c r="N27" s="1101">
        <f t="shared" si="15"/>
        <v>0</v>
      </c>
      <c r="O27" s="1101">
        <f t="shared" si="15"/>
        <v>3710000000</v>
      </c>
      <c r="P27" s="1101">
        <f t="shared" si="15"/>
        <v>371000000</v>
      </c>
      <c r="Q27" s="1101"/>
      <c r="R27" s="1101">
        <f t="shared" si="15"/>
        <v>2597000000</v>
      </c>
      <c r="S27" s="1101"/>
      <c r="T27" s="1101">
        <f t="shared" si="15"/>
        <v>742000000</v>
      </c>
      <c r="U27" s="1101"/>
      <c r="V27" s="1101">
        <f t="shared" si="15"/>
        <v>0</v>
      </c>
      <c r="W27" s="1101"/>
      <c r="X27" s="1101">
        <f t="shared" si="15"/>
        <v>0</v>
      </c>
      <c r="Y27" s="1101">
        <f t="shared" si="15"/>
        <v>2189048031</v>
      </c>
      <c r="Z27" s="1101">
        <f t="shared" si="15"/>
        <v>2351463428</v>
      </c>
      <c r="AA27" s="1069">
        <f t="shared" si="16"/>
        <v>4540511459</v>
      </c>
      <c r="AB27" s="1102" t="e">
        <f t="shared" si="11"/>
        <v>#DIV/0!</v>
      </c>
      <c r="AC27" s="1103"/>
    </row>
    <row r="28" spans="1:33" s="1128" customFormat="1" ht="22.5" customHeight="1" thickTop="1" thickBot="1" x14ac:dyDescent="0.3">
      <c r="A28" s="1121">
        <v>1</v>
      </c>
      <c r="B28" s="1122" t="s">
        <v>216</v>
      </c>
      <c r="C28" s="1122" t="s">
        <v>216</v>
      </c>
      <c r="D28" s="1122" t="s">
        <v>231</v>
      </c>
      <c r="E28" s="1122" t="s">
        <v>220</v>
      </c>
      <c r="F28" s="1122" t="s">
        <v>243</v>
      </c>
      <c r="G28" s="1123">
        <v>64</v>
      </c>
      <c r="H28" s="1122"/>
      <c r="I28" s="1122"/>
      <c r="J28" s="1122"/>
      <c r="K28" s="1124" t="s">
        <v>245</v>
      </c>
      <c r="L28" s="1125">
        <f>+L29+L33</f>
        <v>3710000000</v>
      </c>
      <c r="M28" s="1125">
        <f t="shared" ref="M28:Z28" si="17">+M29+M33</f>
        <v>0</v>
      </c>
      <c r="N28" s="1125">
        <f t="shared" si="17"/>
        <v>0</v>
      </c>
      <c r="O28" s="1125">
        <f t="shared" si="17"/>
        <v>3710000000</v>
      </c>
      <c r="P28" s="1125">
        <f t="shared" si="17"/>
        <v>371000000</v>
      </c>
      <c r="Q28" s="1125"/>
      <c r="R28" s="1125">
        <f t="shared" si="17"/>
        <v>2597000000</v>
      </c>
      <c r="S28" s="1125"/>
      <c r="T28" s="1125">
        <f t="shared" si="17"/>
        <v>742000000</v>
      </c>
      <c r="U28" s="1125"/>
      <c r="V28" s="1125">
        <f t="shared" si="17"/>
        <v>0</v>
      </c>
      <c r="W28" s="1125"/>
      <c r="X28" s="1125">
        <f t="shared" si="17"/>
        <v>0</v>
      </c>
      <c r="Y28" s="1125">
        <f t="shared" si="17"/>
        <v>2189048031</v>
      </c>
      <c r="Z28" s="1125">
        <f t="shared" si="17"/>
        <v>2351463428</v>
      </c>
      <c r="AA28" s="1069">
        <f t="shared" si="16"/>
        <v>4540511459</v>
      </c>
      <c r="AB28" s="1126" t="e">
        <f>+#REF!/X28</f>
        <v>#REF!</v>
      </c>
      <c r="AC28" s="1127"/>
    </row>
    <row r="29" spans="1:33" s="1062" customFormat="1" ht="35.25" customHeight="1" thickTop="1" thickBot="1" x14ac:dyDescent="0.3">
      <c r="A29" s="424">
        <v>1</v>
      </c>
      <c r="B29" s="519" t="s">
        <v>216</v>
      </c>
      <c r="C29" s="519" t="s">
        <v>216</v>
      </c>
      <c r="D29" s="519" t="s">
        <v>231</v>
      </c>
      <c r="E29" s="519" t="s">
        <v>220</v>
      </c>
      <c r="F29" s="519" t="s">
        <v>243</v>
      </c>
      <c r="G29" s="1129">
        <v>64</v>
      </c>
      <c r="H29" s="519" t="s">
        <v>220</v>
      </c>
      <c r="I29" s="519"/>
      <c r="J29" s="519"/>
      <c r="K29" s="1105" t="s">
        <v>246</v>
      </c>
      <c r="L29" s="1106">
        <f>SUBTOTAL(9,L30:L32)</f>
        <v>3710000000</v>
      </c>
      <c r="M29" s="1106">
        <f t="shared" ref="M29:Z29" si="18">SUBTOTAL(9,M30:M32)</f>
        <v>0</v>
      </c>
      <c r="N29" s="1106">
        <f t="shared" si="18"/>
        <v>0</v>
      </c>
      <c r="O29" s="1106">
        <f>SUM(O30:O32)</f>
        <v>3710000000</v>
      </c>
      <c r="P29" s="1106">
        <f t="shared" ref="P29:R29" si="19">SUM(P30:P32)</f>
        <v>371000000</v>
      </c>
      <c r="Q29" s="1106"/>
      <c r="R29" s="1106">
        <f t="shared" si="19"/>
        <v>2597000000</v>
      </c>
      <c r="S29" s="1106"/>
      <c r="T29" s="1106">
        <f>SUM(T30:T32)</f>
        <v>742000000</v>
      </c>
      <c r="U29" s="1106"/>
      <c r="V29" s="1106">
        <f t="shared" si="18"/>
        <v>0</v>
      </c>
      <c r="W29" s="1106"/>
      <c r="X29" s="1106">
        <f t="shared" si="18"/>
        <v>0</v>
      </c>
      <c r="Y29" s="1106">
        <f t="shared" si="18"/>
        <v>2189048031</v>
      </c>
      <c r="Z29" s="1106">
        <f t="shared" si="18"/>
        <v>2351463428</v>
      </c>
      <c r="AA29" s="1069">
        <f t="shared" si="16"/>
        <v>4540511459</v>
      </c>
      <c r="AB29" s="1107" t="e">
        <f t="shared" ref="AB29:AB92" si="20">+AA29/X29</f>
        <v>#DIV/0!</v>
      </c>
      <c r="AC29" s="522"/>
      <c r="AF29" s="1130" t="s">
        <v>849</v>
      </c>
    </row>
    <row r="30" spans="1:33" ht="39.75" customHeight="1" thickTop="1" thickBot="1" x14ac:dyDescent="0.3">
      <c r="A30" s="425">
        <v>1</v>
      </c>
      <c r="B30" s="505" t="s">
        <v>216</v>
      </c>
      <c r="C30" s="505" t="s">
        <v>216</v>
      </c>
      <c r="D30" s="505" t="s">
        <v>231</v>
      </c>
      <c r="E30" s="505" t="s">
        <v>220</v>
      </c>
      <c r="F30" s="505" t="s">
        <v>243</v>
      </c>
      <c r="G30" s="525">
        <v>64</v>
      </c>
      <c r="H30" s="505" t="s">
        <v>220</v>
      </c>
      <c r="I30" s="505" t="s">
        <v>216</v>
      </c>
      <c r="J30" s="505"/>
      <c r="K30" s="1108" t="s">
        <v>247</v>
      </c>
      <c r="L30" s="1131">
        <f>+'[6]EJECUCION DE INGRESOS A CORTE 3'!D9</f>
        <v>3710000000</v>
      </c>
      <c r="M30" s="1110"/>
      <c r="N30" s="1110"/>
      <c r="O30" s="1111">
        <f>+L30+M30-N30</f>
        <v>3710000000</v>
      </c>
      <c r="P30" s="1111">
        <f>+O30*Q30</f>
        <v>371000000</v>
      </c>
      <c r="Q30" s="745">
        <v>0.1</v>
      </c>
      <c r="R30" s="1111">
        <f>+O30*S30</f>
        <v>2597000000</v>
      </c>
      <c r="S30" s="745">
        <v>0.7</v>
      </c>
      <c r="T30" s="1111">
        <f>+O30*U30</f>
        <v>742000000</v>
      </c>
      <c r="U30" s="745">
        <v>0.2</v>
      </c>
      <c r="V30" s="1110"/>
      <c r="W30" s="1110"/>
      <c r="X30" s="1110"/>
      <c r="Y30" s="1111">
        <v>2189048031</v>
      </c>
      <c r="Z30" s="1112">
        <v>2351463428</v>
      </c>
      <c r="AA30" s="1069">
        <f t="shared" si="16"/>
        <v>4540511459</v>
      </c>
      <c r="AB30" s="1113" t="e">
        <f t="shared" si="20"/>
        <v>#DIV/0!</v>
      </c>
      <c r="AC30" s="729"/>
      <c r="AF30" s="1114" t="s">
        <v>849</v>
      </c>
    </row>
    <row r="31" spans="1:33" ht="22.5" hidden="1" customHeight="1" thickTop="1" thickBot="1" x14ac:dyDescent="0.3">
      <c r="A31" s="425">
        <v>1</v>
      </c>
      <c r="B31" s="505" t="s">
        <v>216</v>
      </c>
      <c r="C31" s="505" t="s">
        <v>216</v>
      </c>
      <c r="D31" s="505" t="s">
        <v>231</v>
      </c>
      <c r="E31" s="505" t="s">
        <v>220</v>
      </c>
      <c r="F31" s="505" t="s">
        <v>243</v>
      </c>
      <c r="G31" s="525">
        <v>64</v>
      </c>
      <c r="H31" s="505" t="s">
        <v>220</v>
      </c>
      <c r="I31" s="505" t="s">
        <v>227</v>
      </c>
      <c r="J31" s="505"/>
      <c r="K31" s="609" t="s">
        <v>248</v>
      </c>
      <c r="L31" s="1131"/>
      <c r="M31" s="1110"/>
      <c r="N31" s="1110"/>
      <c r="O31" s="1110">
        <f>+L31+M31-N31</f>
        <v>0</v>
      </c>
      <c r="P31" s="1110">
        <f>+O31*10%</f>
        <v>0</v>
      </c>
      <c r="Q31" s="1110"/>
      <c r="R31" s="1110">
        <f>+O31*70%</f>
        <v>0</v>
      </c>
      <c r="S31" s="1110"/>
      <c r="T31" s="1110">
        <f>+O31*20%</f>
        <v>0</v>
      </c>
      <c r="U31" s="1110"/>
      <c r="V31" s="1110"/>
      <c r="W31" s="1110"/>
      <c r="X31" s="1110"/>
      <c r="Y31" s="1131"/>
      <c r="Z31" s="1131">
        <v>0</v>
      </c>
      <c r="AA31" s="1069">
        <f t="shared" si="16"/>
        <v>0</v>
      </c>
      <c r="AB31" s="1113" t="e">
        <f t="shared" si="20"/>
        <v>#DIV/0!</v>
      </c>
      <c r="AC31" s="729"/>
      <c r="AF31" s="1114" t="s">
        <v>849</v>
      </c>
    </row>
    <row r="32" spans="1:33" ht="22.5" hidden="1" customHeight="1" thickTop="1" thickBot="1" x14ac:dyDescent="0.3">
      <c r="A32" s="425">
        <v>1</v>
      </c>
      <c r="B32" s="505" t="s">
        <v>216</v>
      </c>
      <c r="C32" s="505" t="s">
        <v>216</v>
      </c>
      <c r="D32" s="505" t="s">
        <v>231</v>
      </c>
      <c r="E32" s="505" t="s">
        <v>220</v>
      </c>
      <c r="F32" s="505" t="s">
        <v>243</v>
      </c>
      <c r="G32" s="525">
        <v>64</v>
      </c>
      <c r="H32" s="505" t="s">
        <v>220</v>
      </c>
      <c r="I32" s="505" t="s">
        <v>229</v>
      </c>
      <c r="J32" s="505"/>
      <c r="K32" s="609" t="s">
        <v>249</v>
      </c>
      <c r="L32" s="1110"/>
      <c r="M32" s="1110"/>
      <c r="N32" s="1110"/>
      <c r="O32" s="1110">
        <f>+L32+M32-N32</f>
        <v>0</v>
      </c>
      <c r="P32" s="1110"/>
      <c r="Q32" s="1110"/>
      <c r="R32" s="1110"/>
      <c r="S32" s="1110"/>
      <c r="T32" s="1110"/>
      <c r="U32" s="1110"/>
      <c r="V32" s="1110"/>
      <c r="W32" s="1110"/>
      <c r="X32" s="1110"/>
      <c r="Y32" s="1110"/>
      <c r="Z32" s="1110"/>
      <c r="AA32" s="1069">
        <f t="shared" si="16"/>
        <v>0</v>
      </c>
      <c r="AB32" s="1113" t="e">
        <f t="shared" si="20"/>
        <v>#DIV/0!</v>
      </c>
      <c r="AC32" s="729"/>
      <c r="AF32" s="1114" t="s">
        <v>849</v>
      </c>
    </row>
    <row r="33" spans="1:32" s="1062" customFormat="1" ht="22.5" hidden="1" customHeight="1" thickTop="1" thickBot="1" x14ac:dyDescent="0.3">
      <c r="A33" s="424">
        <v>1</v>
      </c>
      <c r="B33" s="519" t="s">
        <v>216</v>
      </c>
      <c r="C33" s="519" t="s">
        <v>216</v>
      </c>
      <c r="D33" s="519" t="s">
        <v>231</v>
      </c>
      <c r="E33" s="519" t="s">
        <v>220</v>
      </c>
      <c r="F33" s="519" t="s">
        <v>243</v>
      </c>
      <c r="G33" s="1129">
        <v>64</v>
      </c>
      <c r="H33" s="519" t="s">
        <v>231</v>
      </c>
      <c r="I33" s="519"/>
      <c r="J33" s="519"/>
      <c r="K33" s="1105" t="s">
        <v>250</v>
      </c>
      <c r="L33" s="1106">
        <f>SUBTOTAL(9,L34:L36)</f>
        <v>0</v>
      </c>
      <c r="M33" s="1106">
        <f t="shared" ref="M33:Z33" si="21">SUBTOTAL(9,M34:M36)</f>
        <v>0</v>
      </c>
      <c r="N33" s="1106">
        <f t="shared" si="21"/>
        <v>0</v>
      </c>
      <c r="O33" s="1106">
        <f t="shared" si="21"/>
        <v>0</v>
      </c>
      <c r="P33" s="1106">
        <f t="shared" si="21"/>
        <v>0</v>
      </c>
      <c r="Q33" s="1106"/>
      <c r="R33" s="1106">
        <f t="shared" si="21"/>
        <v>0</v>
      </c>
      <c r="S33" s="1106"/>
      <c r="T33" s="1106">
        <f t="shared" si="21"/>
        <v>0</v>
      </c>
      <c r="U33" s="1106"/>
      <c r="V33" s="1106">
        <f t="shared" si="21"/>
        <v>0</v>
      </c>
      <c r="W33" s="1106"/>
      <c r="X33" s="1106">
        <f t="shared" si="21"/>
        <v>0</v>
      </c>
      <c r="Y33" s="1106">
        <f t="shared" si="21"/>
        <v>0</v>
      </c>
      <c r="Z33" s="1106">
        <f t="shared" si="21"/>
        <v>0</v>
      </c>
      <c r="AA33" s="1069">
        <f t="shared" si="16"/>
        <v>0</v>
      </c>
      <c r="AB33" s="1107" t="e">
        <f t="shared" si="20"/>
        <v>#DIV/0!</v>
      </c>
      <c r="AC33" s="522"/>
      <c r="AF33" s="1115" t="s">
        <v>849</v>
      </c>
    </row>
    <row r="34" spans="1:32" ht="22.5" hidden="1" customHeight="1" thickTop="1" thickBot="1" x14ac:dyDescent="0.3">
      <c r="A34" s="425">
        <v>1</v>
      </c>
      <c r="B34" s="505" t="s">
        <v>216</v>
      </c>
      <c r="C34" s="505" t="s">
        <v>216</v>
      </c>
      <c r="D34" s="505" t="s">
        <v>231</v>
      </c>
      <c r="E34" s="505" t="s">
        <v>220</v>
      </c>
      <c r="F34" s="505" t="s">
        <v>243</v>
      </c>
      <c r="G34" s="525">
        <v>64</v>
      </c>
      <c r="H34" s="505" t="s">
        <v>231</v>
      </c>
      <c r="I34" s="505" t="s">
        <v>216</v>
      </c>
      <c r="J34" s="505"/>
      <c r="K34" s="609" t="s">
        <v>251</v>
      </c>
      <c r="L34" s="1131"/>
      <c r="M34" s="1110"/>
      <c r="N34" s="1110"/>
      <c r="O34" s="1110">
        <f>+L34+M34-N34</f>
        <v>0</v>
      </c>
      <c r="P34" s="1110">
        <f t="shared" ref="P34:P35" si="22">+O34*10%</f>
        <v>0</v>
      </c>
      <c r="Q34" s="1110"/>
      <c r="R34" s="1110">
        <f t="shared" ref="R34:R35" si="23">+O34*70%</f>
        <v>0</v>
      </c>
      <c r="S34" s="1110"/>
      <c r="T34" s="1110">
        <f>+O34*20%</f>
        <v>0</v>
      </c>
      <c r="U34" s="1110"/>
      <c r="V34" s="1110"/>
      <c r="W34" s="1110"/>
      <c r="X34" s="1110"/>
      <c r="Y34" s="1131"/>
      <c r="Z34" s="1131"/>
      <c r="AA34" s="1069">
        <f t="shared" si="16"/>
        <v>0</v>
      </c>
      <c r="AB34" s="1113" t="e">
        <f t="shared" si="20"/>
        <v>#DIV/0!</v>
      </c>
      <c r="AC34" s="729"/>
      <c r="AF34" s="1116" t="s">
        <v>849</v>
      </c>
    </row>
    <row r="35" spans="1:32" ht="22.5" hidden="1" customHeight="1" thickTop="1" thickBot="1" x14ac:dyDescent="0.3">
      <c r="A35" s="425">
        <v>1</v>
      </c>
      <c r="B35" s="505" t="s">
        <v>216</v>
      </c>
      <c r="C35" s="505" t="s">
        <v>216</v>
      </c>
      <c r="D35" s="505" t="s">
        <v>231</v>
      </c>
      <c r="E35" s="505" t="s">
        <v>220</v>
      </c>
      <c r="F35" s="505" t="s">
        <v>243</v>
      </c>
      <c r="G35" s="525">
        <v>64</v>
      </c>
      <c r="H35" s="505" t="s">
        <v>231</v>
      </c>
      <c r="I35" s="505" t="s">
        <v>227</v>
      </c>
      <c r="J35" s="505"/>
      <c r="K35" s="609" t="s">
        <v>252</v>
      </c>
      <c r="L35" s="1131"/>
      <c r="M35" s="1110"/>
      <c r="N35" s="1110"/>
      <c r="O35" s="1110">
        <f>+L35+M35-N35</f>
        <v>0</v>
      </c>
      <c r="P35" s="1110">
        <f t="shared" si="22"/>
        <v>0</v>
      </c>
      <c r="Q35" s="1110"/>
      <c r="R35" s="1110">
        <f t="shared" si="23"/>
        <v>0</v>
      </c>
      <c r="S35" s="1110"/>
      <c r="T35" s="1110">
        <f>+O35*20%</f>
        <v>0</v>
      </c>
      <c r="U35" s="1110"/>
      <c r="V35" s="1110"/>
      <c r="W35" s="1110"/>
      <c r="X35" s="1110"/>
      <c r="Y35" s="1131"/>
      <c r="Z35" s="1131"/>
      <c r="AA35" s="1069">
        <f t="shared" si="16"/>
        <v>0</v>
      </c>
      <c r="AB35" s="1113" t="e">
        <f t="shared" si="20"/>
        <v>#DIV/0!</v>
      </c>
      <c r="AC35" s="729"/>
    </row>
    <row r="36" spans="1:32" ht="22.5" hidden="1" customHeight="1" thickTop="1" thickBot="1" x14ac:dyDescent="0.3">
      <c r="A36" s="425">
        <v>1</v>
      </c>
      <c r="B36" s="505" t="s">
        <v>216</v>
      </c>
      <c r="C36" s="505" t="s">
        <v>216</v>
      </c>
      <c r="D36" s="505" t="s">
        <v>231</v>
      </c>
      <c r="E36" s="505" t="s">
        <v>220</v>
      </c>
      <c r="F36" s="505" t="s">
        <v>243</v>
      </c>
      <c r="G36" s="525">
        <v>64</v>
      </c>
      <c r="H36" s="505" t="s">
        <v>231</v>
      </c>
      <c r="I36" s="505" t="s">
        <v>229</v>
      </c>
      <c r="J36" s="505"/>
      <c r="K36" s="609" t="s">
        <v>253</v>
      </c>
      <c r="L36" s="1110"/>
      <c r="M36" s="1110"/>
      <c r="N36" s="1110"/>
      <c r="O36" s="1110">
        <f>+L36+M36-N36</f>
        <v>0</v>
      </c>
      <c r="P36" s="1110"/>
      <c r="Q36" s="1110"/>
      <c r="R36" s="1110"/>
      <c r="S36" s="1110"/>
      <c r="T36" s="1110"/>
      <c r="U36" s="1110"/>
      <c r="V36" s="1110"/>
      <c r="W36" s="1110"/>
      <c r="X36" s="1110"/>
      <c r="Y36" s="1110"/>
      <c r="Z36" s="1110"/>
      <c r="AA36" s="1069">
        <f t="shared" si="16"/>
        <v>0</v>
      </c>
      <c r="AB36" s="1113" t="e">
        <f t="shared" si="20"/>
        <v>#DIV/0!</v>
      </c>
      <c r="AC36" s="729"/>
    </row>
    <row r="37" spans="1:32" s="1097" customFormat="1" ht="31.5" customHeight="1" thickTop="1" thickBot="1" x14ac:dyDescent="0.3">
      <c r="A37" s="1091">
        <v>1</v>
      </c>
      <c r="B37" s="1092" t="s">
        <v>216</v>
      </c>
      <c r="C37" s="1092" t="s">
        <v>216</v>
      </c>
      <c r="D37" s="1092" t="s">
        <v>231</v>
      </c>
      <c r="E37" s="1092" t="s">
        <v>231</v>
      </c>
      <c r="F37" s="1092"/>
      <c r="G37" s="1120"/>
      <c r="H37" s="1092"/>
      <c r="I37" s="1092"/>
      <c r="J37" s="1092"/>
      <c r="K37" s="1093" t="s">
        <v>254</v>
      </c>
      <c r="L37" s="1094">
        <f>+L38+L42+L46+L50+L54+L58+L62+L66+L70+L74</f>
        <v>3612000000</v>
      </c>
      <c r="M37" s="1094">
        <f t="shared" ref="M37:X37" si="24">+M38+M42+M46+M50+M54+M58+M62+M66+M70+M74</f>
        <v>0</v>
      </c>
      <c r="N37" s="1094">
        <f t="shared" si="24"/>
        <v>0</v>
      </c>
      <c r="O37" s="1094">
        <f t="shared" si="24"/>
        <v>3612000000</v>
      </c>
      <c r="P37" s="1094">
        <f t="shared" si="24"/>
        <v>0</v>
      </c>
      <c r="Q37" s="1094"/>
      <c r="R37" s="1094">
        <f t="shared" si="24"/>
        <v>3420800000</v>
      </c>
      <c r="S37" s="1094"/>
      <c r="T37" s="1094">
        <f t="shared" si="24"/>
        <v>191200000</v>
      </c>
      <c r="U37" s="1094"/>
      <c r="V37" s="1094">
        <f t="shared" si="24"/>
        <v>0</v>
      </c>
      <c r="W37" s="1094"/>
      <c r="X37" s="1094">
        <f t="shared" si="24"/>
        <v>0</v>
      </c>
      <c r="Y37" s="1094">
        <f>+Y38+Y42+Y46+Y50+Y54+Y58+Y62+Y66+Y70+Y74</f>
        <v>2409533004</v>
      </c>
      <c r="Z37" s="1094">
        <f>+Z38+Z42+Z46+Z50+Z54+Z58+Z62+Z66+Z70+Z74</f>
        <v>1823414328</v>
      </c>
      <c r="AA37" s="1069">
        <f t="shared" si="16"/>
        <v>4232947332</v>
      </c>
      <c r="AB37" s="1095" t="e">
        <f t="shared" si="20"/>
        <v>#DIV/0!</v>
      </c>
      <c r="AC37" s="1096"/>
    </row>
    <row r="38" spans="1:32" s="1104" customFormat="1" ht="22.5" customHeight="1" thickTop="1" thickBot="1" x14ac:dyDescent="0.3">
      <c r="A38" s="1098">
        <v>1</v>
      </c>
      <c r="B38" s="1099" t="s">
        <v>216</v>
      </c>
      <c r="C38" s="1099" t="s">
        <v>216</v>
      </c>
      <c r="D38" s="1099" t="s">
        <v>231</v>
      </c>
      <c r="E38" s="1099" t="s">
        <v>231</v>
      </c>
      <c r="F38" s="1099" t="s">
        <v>255</v>
      </c>
      <c r="G38" s="1117"/>
      <c r="H38" s="1099"/>
      <c r="I38" s="1099"/>
      <c r="J38" s="1099"/>
      <c r="K38" s="1100" t="s">
        <v>256</v>
      </c>
      <c r="L38" s="1101">
        <f>SUBTOTAL(9,L39:L41)</f>
        <v>77000000</v>
      </c>
      <c r="M38" s="1101">
        <f t="shared" ref="M38:Z38" si="25">SUBTOTAL(9,M39:M41)</f>
        <v>0</v>
      </c>
      <c r="N38" s="1101">
        <f t="shared" si="25"/>
        <v>0</v>
      </c>
      <c r="O38" s="1101">
        <f t="shared" si="25"/>
        <v>77000000</v>
      </c>
      <c r="P38" s="1101">
        <f t="shared" si="25"/>
        <v>0</v>
      </c>
      <c r="Q38" s="1101"/>
      <c r="R38" s="1101">
        <f t="shared" si="25"/>
        <v>69300000</v>
      </c>
      <c r="S38" s="1101"/>
      <c r="T38" s="1101">
        <f t="shared" si="25"/>
        <v>7700000</v>
      </c>
      <c r="U38" s="1101"/>
      <c r="V38" s="1101">
        <f t="shared" si="25"/>
        <v>0</v>
      </c>
      <c r="W38" s="1101"/>
      <c r="X38" s="1101">
        <f t="shared" si="25"/>
        <v>0</v>
      </c>
      <c r="Y38" s="1101">
        <f t="shared" si="25"/>
        <v>52412476</v>
      </c>
      <c r="Z38" s="1132">
        <f t="shared" si="25"/>
        <v>83958663</v>
      </c>
      <c r="AA38" s="1069">
        <f t="shared" si="16"/>
        <v>136371139</v>
      </c>
      <c r="AB38" s="1102" t="e">
        <f t="shared" si="20"/>
        <v>#DIV/0!</v>
      </c>
      <c r="AC38" s="1103"/>
    </row>
    <row r="39" spans="1:32" ht="22.5" customHeight="1" thickTop="1" thickBot="1" x14ac:dyDescent="0.3">
      <c r="A39" s="425">
        <v>1</v>
      </c>
      <c r="B39" s="505" t="s">
        <v>216</v>
      </c>
      <c r="C39" s="505" t="s">
        <v>216</v>
      </c>
      <c r="D39" s="505" t="s">
        <v>231</v>
      </c>
      <c r="E39" s="505" t="s">
        <v>231</v>
      </c>
      <c r="F39" s="505" t="s">
        <v>255</v>
      </c>
      <c r="G39" s="525">
        <v>1</v>
      </c>
      <c r="H39" s="505"/>
      <c r="I39" s="505"/>
      <c r="J39" s="505"/>
      <c r="K39" s="1108" t="s">
        <v>257</v>
      </c>
      <c r="L39" s="1110">
        <f>+'[6]EJECUCION DE INGRESOS A CORTE 3'!D18</f>
        <v>77000000</v>
      </c>
      <c r="M39" s="1110"/>
      <c r="N39" s="1110"/>
      <c r="O39" s="1111">
        <f>+L39+M39-N39</f>
        <v>77000000</v>
      </c>
      <c r="P39" s="1110"/>
      <c r="Q39" s="1110"/>
      <c r="R39" s="1111">
        <f>+O39*S39</f>
        <v>69300000</v>
      </c>
      <c r="S39" s="745">
        <v>0.9</v>
      </c>
      <c r="T39" s="1111">
        <f>+O39*U39</f>
        <v>7700000</v>
      </c>
      <c r="U39" s="745">
        <v>0.1</v>
      </c>
      <c r="V39" s="1110"/>
      <c r="W39" s="1110"/>
      <c r="X39" s="1110"/>
      <c r="Y39" s="1111">
        <v>52412476</v>
      </c>
      <c r="Z39" s="1112">
        <v>83958663</v>
      </c>
      <c r="AA39" s="1069">
        <f t="shared" si="16"/>
        <v>136371139</v>
      </c>
      <c r="AB39" s="1113" t="e">
        <f t="shared" si="20"/>
        <v>#DIV/0!</v>
      </c>
      <c r="AC39" s="729"/>
    </row>
    <row r="40" spans="1:32" ht="22.5" hidden="1" customHeight="1" thickTop="1" thickBot="1" x14ac:dyDescent="0.3">
      <c r="A40" s="425">
        <v>1</v>
      </c>
      <c r="B40" s="505" t="s">
        <v>216</v>
      </c>
      <c r="C40" s="505" t="s">
        <v>216</v>
      </c>
      <c r="D40" s="505" t="s">
        <v>231</v>
      </c>
      <c r="E40" s="505" t="s">
        <v>231</v>
      </c>
      <c r="F40" s="505" t="s">
        <v>255</v>
      </c>
      <c r="G40" s="525">
        <v>2</v>
      </c>
      <c r="H40" s="505"/>
      <c r="I40" s="505"/>
      <c r="J40" s="505"/>
      <c r="K40" s="609" t="s">
        <v>258</v>
      </c>
      <c r="L40" s="1110"/>
      <c r="M40" s="1110"/>
      <c r="N40" s="1110"/>
      <c r="O40" s="1110">
        <f>+L40+M40-N40</f>
        <v>0</v>
      </c>
      <c r="P40" s="1110"/>
      <c r="Q40" s="1110"/>
      <c r="R40" s="1110"/>
      <c r="S40" s="1110"/>
      <c r="T40" s="1110"/>
      <c r="U40" s="1110"/>
      <c r="V40" s="1110"/>
      <c r="W40" s="1110"/>
      <c r="X40" s="1110"/>
      <c r="Y40" s="1110"/>
      <c r="Z40" s="1110"/>
      <c r="AA40" s="1069">
        <f t="shared" si="16"/>
        <v>0</v>
      </c>
      <c r="AB40" s="1113" t="e">
        <f t="shared" si="20"/>
        <v>#DIV/0!</v>
      </c>
      <c r="AC40" s="729"/>
    </row>
    <row r="41" spans="1:32" ht="22.5" hidden="1" customHeight="1" thickTop="1" thickBot="1" x14ac:dyDescent="0.3">
      <c r="A41" s="425">
        <v>1</v>
      </c>
      <c r="B41" s="505" t="s">
        <v>216</v>
      </c>
      <c r="C41" s="505" t="s">
        <v>216</v>
      </c>
      <c r="D41" s="505" t="s">
        <v>231</v>
      </c>
      <c r="E41" s="505" t="s">
        <v>231</v>
      </c>
      <c r="F41" s="505" t="s">
        <v>255</v>
      </c>
      <c r="G41" s="525">
        <v>3</v>
      </c>
      <c r="H41" s="505"/>
      <c r="I41" s="505"/>
      <c r="J41" s="505"/>
      <c r="K41" s="609" t="s">
        <v>259</v>
      </c>
      <c r="L41" s="1110"/>
      <c r="M41" s="1110"/>
      <c r="N41" s="1110"/>
      <c r="O41" s="1110">
        <f>+L41+M41-N41</f>
        <v>0</v>
      </c>
      <c r="P41" s="1110"/>
      <c r="Q41" s="1110"/>
      <c r="R41" s="1110"/>
      <c r="S41" s="1110"/>
      <c r="T41" s="1110"/>
      <c r="U41" s="1110"/>
      <c r="V41" s="1110"/>
      <c r="W41" s="1110"/>
      <c r="X41" s="1110"/>
      <c r="Y41" s="1110"/>
      <c r="Z41" s="1110"/>
      <c r="AA41" s="1069">
        <f t="shared" si="16"/>
        <v>0</v>
      </c>
      <c r="AB41" s="1113" t="e">
        <f t="shared" si="20"/>
        <v>#DIV/0!</v>
      </c>
      <c r="AC41" s="729"/>
    </row>
    <row r="42" spans="1:32" s="1104" customFormat="1" ht="22.5" customHeight="1" thickTop="1" thickBot="1" x14ac:dyDescent="0.3">
      <c r="A42" s="1098">
        <v>1</v>
      </c>
      <c r="B42" s="1099" t="s">
        <v>216</v>
      </c>
      <c r="C42" s="1099" t="s">
        <v>216</v>
      </c>
      <c r="D42" s="1099" t="s">
        <v>231</v>
      </c>
      <c r="E42" s="1099" t="s">
        <v>231</v>
      </c>
      <c r="F42" s="1099" t="s">
        <v>260</v>
      </c>
      <c r="G42" s="1117"/>
      <c r="H42" s="1099"/>
      <c r="I42" s="1099"/>
      <c r="J42" s="1099"/>
      <c r="K42" s="1100" t="s">
        <v>261</v>
      </c>
      <c r="L42" s="1101">
        <f>SUM(L43:L45)</f>
        <v>332000000</v>
      </c>
      <c r="M42" s="1101">
        <f t="shared" ref="M42:O42" si="26">SUM(M43:M45)</f>
        <v>0</v>
      </c>
      <c r="N42" s="1101">
        <f t="shared" si="26"/>
        <v>0</v>
      </c>
      <c r="O42" s="1101">
        <f t="shared" si="26"/>
        <v>332000000</v>
      </c>
      <c r="P42" s="1101">
        <f t="shared" ref="P42:Z42" si="27">SUBTOTAL(9,P43:P45)</f>
        <v>0</v>
      </c>
      <c r="Q42" s="1101"/>
      <c r="R42" s="1101">
        <f t="shared" si="27"/>
        <v>298800000</v>
      </c>
      <c r="S42" s="1101"/>
      <c r="T42" s="1101">
        <f t="shared" si="27"/>
        <v>33200000</v>
      </c>
      <c r="U42" s="1101"/>
      <c r="V42" s="1101">
        <f t="shared" si="27"/>
        <v>0</v>
      </c>
      <c r="W42" s="1101"/>
      <c r="X42" s="1101">
        <f t="shared" si="27"/>
        <v>0</v>
      </c>
      <c r="Y42" s="1101">
        <f t="shared" si="27"/>
        <v>301254189</v>
      </c>
      <c r="Z42" s="1132">
        <f t="shared" si="27"/>
        <v>347889092</v>
      </c>
      <c r="AA42" s="1069">
        <f t="shared" si="16"/>
        <v>649143281</v>
      </c>
      <c r="AB42" s="1102" t="e">
        <f t="shared" si="20"/>
        <v>#DIV/0!</v>
      </c>
      <c r="AC42" s="1103"/>
    </row>
    <row r="43" spans="1:32" ht="22.5" customHeight="1" thickTop="1" thickBot="1" x14ac:dyDescent="0.3">
      <c r="A43" s="425">
        <v>1</v>
      </c>
      <c r="B43" s="505" t="s">
        <v>216</v>
      </c>
      <c r="C43" s="505" t="s">
        <v>216</v>
      </c>
      <c r="D43" s="505" t="s">
        <v>231</v>
      </c>
      <c r="E43" s="505" t="s">
        <v>231</v>
      </c>
      <c r="F43" s="505" t="s">
        <v>260</v>
      </c>
      <c r="G43" s="525">
        <v>1</v>
      </c>
      <c r="H43" s="505"/>
      <c r="I43" s="505"/>
      <c r="J43" s="505"/>
      <c r="K43" s="1108" t="s">
        <v>262</v>
      </c>
      <c r="L43" s="1110">
        <f>+'[6]EJECUCION DE INGRESOS A CORTE 3'!D16</f>
        <v>332000000</v>
      </c>
      <c r="M43" s="1110"/>
      <c r="N43" s="1110"/>
      <c r="O43" s="1111">
        <f>+L43+M43-N43</f>
        <v>332000000</v>
      </c>
      <c r="P43" s="1110"/>
      <c r="Q43" s="1110"/>
      <c r="R43" s="1111">
        <f>+O43*S43</f>
        <v>298800000</v>
      </c>
      <c r="S43" s="745">
        <v>0.9</v>
      </c>
      <c r="T43" s="1111">
        <f>+O43*U43</f>
        <v>33200000</v>
      </c>
      <c r="U43" s="745">
        <v>0.1</v>
      </c>
      <c r="V43" s="1110"/>
      <c r="W43" s="1110"/>
      <c r="X43" s="1133"/>
      <c r="Y43" s="1111">
        <v>301254189</v>
      </c>
      <c r="Z43" s="1112">
        <v>347889092</v>
      </c>
      <c r="AA43" s="1069">
        <f t="shared" si="16"/>
        <v>649143281</v>
      </c>
      <c r="AB43" s="1113" t="e">
        <f t="shared" si="20"/>
        <v>#DIV/0!</v>
      </c>
      <c r="AC43" s="729"/>
      <c r="AE43" s="1134" t="s">
        <v>849</v>
      </c>
    </row>
    <row r="44" spans="1:32" ht="22.5" hidden="1" customHeight="1" thickTop="1" thickBot="1" x14ac:dyDescent="0.3">
      <c r="A44" s="425">
        <v>1</v>
      </c>
      <c r="B44" s="505" t="s">
        <v>216</v>
      </c>
      <c r="C44" s="505" t="s">
        <v>216</v>
      </c>
      <c r="D44" s="505" t="s">
        <v>231</v>
      </c>
      <c r="E44" s="505" t="s">
        <v>231</v>
      </c>
      <c r="F44" s="505" t="s">
        <v>260</v>
      </c>
      <c r="G44" s="525">
        <v>2</v>
      </c>
      <c r="H44" s="505"/>
      <c r="I44" s="505"/>
      <c r="J44" s="505"/>
      <c r="K44" s="609" t="s">
        <v>263</v>
      </c>
      <c r="L44" s="1110"/>
      <c r="M44" s="1110"/>
      <c r="N44" s="1110"/>
      <c r="O44" s="1110">
        <f>+L44+M44-N44</f>
        <v>0</v>
      </c>
      <c r="P44" s="1110">
        <f>+O44*90%</f>
        <v>0</v>
      </c>
      <c r="Q44" s="1110"/>
      <c r="R44" s="1110"/>
      <c r="S44" s="1110"/>
      <c r="T44" s="1110">
        <f>+O44*10%</f>
        <v>0</v>
      </c>
      <c r="U44" s="1110"/>
      <c r="V44" s="1110"/>
      <c r="W44" s="1110"/>
      <c r="X44" s="1133"/>
      <c r="Y44" s="1110"/>
      <c r="Z44" s="1110"/>
      <c r="AA44" s="1069">
        <f t="shared" si="16"/>
        <v>0</v>
      </c>
      <c r="AB44" s="1113" t="e">
        <f t="shared" si="20"/>
        <v>#DIV/0!</v>
      </c>
      <c r="AC44" s="729"/>
    </row>
    <row r="45" spans="1:32" ht="22.5" hidden="1" customHeight="1" thickTop="1" thickBot="1" x14ac:dyDescent="0.3">
      <c r="A45" s="425">
        <v>1</v>
      </c>
      <c r="B45" s="505" t="s">
        <v>216</v>
      </c>
      <c r="C45" s="505" t="s">
        <v>216</v>
      </c>
      <c r="D45" s="505" t="s">
        <v>231</v>
      </c>
      <c r="E45" s="505" t="s">
        <v>231</v>
      </c>
      <c r="F45" s="505" t="s">
        <v>260</v>
      </c>
      <c r="G45" s="525">
        <v>3</v>
      </c>
      <c r="H45" s="505"/>
      <c r="I45" s="505"/>
      <c r="J45" s="505"/>
      <c r="K45" s="609" t="s">
        <v>264</v>
      </c>
      <c r="L45" s="1110"/>
      <c r="M45" s="1110"/>
      <c r="N45" s="1110"/>
      <c r="O45" s="1110">
        <f>+L45+M45-N45</f>
        <v>0</v>
      </c>
      <c r="P45" s="1110"/>
      <c r="Q45" s="1110"/>
      <c r="R45" s="1110"/>
      <c r="S45" s="1110"/>
      <c r="T45" s="1110"/>
      <c r="U45" s="1110"/>
      <c r="V45" s="1110"/>
      <c r="W45" s="1110"/>
      <c r="X45" s="1110"/>
      <c r="Y45" s="1110"/>
      <c r="Z45" s="1110"/>
      <c r="AA45" s="1069">
        <f t="shared" si="16"/>
        <v>0</v>
      </c>
      <c r="AB45" s="1113" t="e">
        <f t="shared" si="20"/>
        <v>#DIV/0!</v>
      </c>
      <c r="AC45" s="729"/>
    </row>
    <row r="46" spans="1:32" s="1104" customFormat="1" ht="22.5" hidden="1" customHeight="1" thickTop="1" thickBot="1" x14ac:dyDescent="0.3">
      <c r="A46" s="1098">
        <v>1</v>
      </c>
      <c r="B46" s="1099" t="s">
        <v>216</v>
      </c>
      <c r="C46" s="1099" t="s">
        <v>216</v>
      </c>
      <c r="D46" s="1099" t="s">
        <v>231</v>
      </c>
      <c r="E46" s="1099" t="s">
        <v>231</v>
      </c>
      <c r="F46" s="1099" t="s">
        <v>265</v>
      </c>
      <c r="G46" s="1117"/>
      <c r="H46" s="1099"/>
      <c r="I46" s="1099"/>
      <c r="J46" s="1099"/>
      <c r="K46" s="1100" t="s">
        <v>266</v>
      </c>
      <c r="L46" s="1101">
        <f>SUM(L47:L49)</f>
        <v>0</v>
      </c>
      <c r="M46" s="1101">
        <f t="shared" ref="M46:N46" si="28">SUBTOTAL(9,M47:M49)</f>
        <v>0</v>
      </c>
      <c r="N46" s="1101">
        <f t="shared" si="28"/>
        <v>0</v>
      </c>
      <c r="O46" s="1101">
        <f>SUBTOTAL(9,O47:O49)</f>
        <v>0</v>
      </c>
      <c r="P46" s="1101">
        <f t="shared" ref="P46:Z46" si="29">SUBTOTAL(9,P47:P49)</f>
        <v>0</v>
      </c>
      <c r="Q46" s="1101"/>
      <c r="R46" s="1101">
        <f t="shared" si="29"/>
        <v>0</v>
      </c>
      <c r="S46" s="1101"/>
      <c r="T46" s="1101">
        <f t="shared" si="29"/>
        <v>0</v>
      </c>
      <c r="U46" s="1101"/>
      <c r="V46" s="1101">
        <f t="shared" si="29"/>
        <v>0</v>
      </c>
      <c r="W46" s="1101"/>
      <c r="X46" s="1101">
        <f t="shared" si="29"/>
        <v>0</v>
      </c>
      <c r="Y46" s="1101">
        <f t="shared" si="29"/>
        <v>0</v>
      </c>
      <c r="Z46" s="1101">
        <f t="shared" si="29"/>
        <v>0</v>
      </c>
      <c r="AA46" s="1069">
        <f t="shared" si="16"/>
        <v>0</v>
      </c>
      <c r="AB46" s="1102" t="e">
        <f t="shared" si="20"/>
        <v>#DIV/0!</v>
      </c>
      <c r="AC46" s="1103"/>
      <c r="AF46" s="1118" t="s">
        <v>849</v>
      </c>
    </row>
    <row r="47" spans="1:32" ht="22.5" hidden="1" customHeight="1" thickTop="1" thickBot="1" x14ac:dyDescent="0.3">
      <c r="A47" s="425">
        <v>1</v>
      </c>
      <c r="B47" s="505" t="s">
        <v>216</v>
      </c>
      <c r="C47" s="505" t="s">
        <v>216</v>
      </c>
      <c r="D47" s="505" t="s">
        <v>231</v>
      </c>
      <c r="E47" s="505" t="s">
        <v>231</v>
      </c>
      <c r="F47" s="505" t="s">
        <v>265</v>
      </c>
      <c r="G47" s="525">
        <v>1</v>
      </c>
      <c r="H47" s="505"/>
      <c r="I47" s="505"/>
      <c r="J47" s="505"/>
      <c r="K47" s="609" t="s">
        <v>267</v>
      </c>
      <c r="L47" s="1110"/>
      <c r="M47" s="1110"/>
      <c r="N47" s="1110"/>
      <c r="O47" s="1110">
        <f>+L47+M47-N47</f>
        <v>0</v>
      </c>
      <c r="P47" s="1110">
        <f t="shared" ref="P47:P48" si="30">+O47*90%</f>
        <v>0</v>
      </c>
      <c r="Q47" s="1110"/>
      <c r="R47" s="1110"/>
      <c r="S47" s="1110"/>
      <c r="T47" s="1110">
        <f>+O47*10%</f>
        <v>0</v>
      </c>
      <c r="U47" s="1110"/>
      <c r="V47" s="1110"/>
      <c r="W47" s="1110"/>
      <c r="X47" s="1133"/>
      <c r="Y47" s="1110"/>
      <c r="Z47" s="1110">
        <v>0</v>
      </c>
      <c r="AA47" s="1069">
        <f t="shared" si="16"/>
        <v>0</v>
      </c>
      <c r="AB47" s="1113" t="e">
        <f t="shared" si="20"/>
        <v>#DIV/0!</v>
      </c>
      <c r="AC47" s="729"/>
      <c r="AF47" s="1114" t="s">
        <v>849</v>
      </c>
    </row>
    <row r="48" spans="1:32" ht="22.5" hidden="1" customHeight="1" thickTop="1" thickBot="1" x14ac:dyDescent="0.3">
      <c r="A48" s="425">
        <v>1</v>
      </c>
      <c r="B48" s="505" t="s">
        <v>216</v>
      </c>
      <c r="C48" s="505" t="s">
        <v>216</v>
      </c>
      <c r="D48" s="505" t="s">
        <v>231</v>
      </c>
      <c r="E48" s="505" t="s">
        <v>231</v>
      </c>
      <c r="F48" s="505" t="s">
        <v>265</v>
      </c>
      <c r="G48" s="525">
        <v>2</v>
      </c>
      <c r="H48" s="505"/>
      <c r="I48" s="505"/>
      <c r="J48" s="505"/>
      <c r="K48" s="609" t="s">
        <v>268</v>
      </c>
      <c r="L48" s="1110"/>
      <c r="M48" s="1110"/>
      <c r="N48" s="1110"/>
      <c r="O48" s="1110">
        <f>+L48+M48-N48</f>
        <v>0</v>
      </c>
      <c r="P48" s="1110">
        <f t="shared" si="30"/>
        <v>0</v>
      </c>
      <c r="Q48" s="1110"/>
      <c r="R48" s="1110"/>
      <c r="S48" s="1110"/>
      <c r="T48" s="1110">
        <f>+O48*10%</f>
        <v>0</v>
      </c>
      <c r="U48" s="1110"/>
      <c r="V48" s="1110"/>
      <c r="W48" s="1110"/>
      <c r="X48" s="1133"/>
      <c r="Y48" s="1110"/>
      <c r="Z48" s="1110"/>
      <c r="AA48" s="1069">
        <f t="shared" si="16"/>
        <v>0</v>
      </c>
      <c r="AB48" s="1113" t="e">
        <f t="shared" si="20"/>
        <v>#DIV/0!</v>
      </c>
      <c r="AC48" s="729"/>
      <c r="AF48" s="1114" t="s">
        <v>849</v>
      </c>
    </row>
    <row r="49" spans="1:32" ht="22.5" hidden="1" customHeight="1" thickTop="1" thickBot="1" x14ac:dyDescent="0.3">
      <c r="A49" s="425">
        <v>1</v>
      </c>
      <c r="B49" s="505" t="s">
        <v>216</v>
      </c>
      <c r="C49" s="505" t="s">
        <v>216</v>
      </c>
      <c r="D49" s="505" t="s">
        <v>231</v>
      </c>
      <c r="E49" s="505" t="s">
        <v>231</v>
      </c>
      <c r="F49" s="505" t="s">
        <v>265</v>
      </c>
      <c r="G49" s="525">
        <v>3</v>
      </c>
      <c r="H49" s="505"/>
      <c r="I49" s="505"/>
      <c r="J49" s="505"/>
      <c r="K49" s="609" t="s">
        <v>269</v>
      </c>
      <c r="L49" s="1110"/>
      <c r="M49" s="1110"/>
      <c r="N49" s="1110"/>
      <c r="O49" s="1110">
        <f>+L49+M49-N49</f>
        <v>0</v>
      </c>
      <c r="P49" s="1110"/>
      <c r="Q49" s="1110"/>
      <c r="R49" s="1110"/>
      <c r="S49" s="1110"/>
      <c r="T49" s="1110"/>
      <c r="U49" s="1110"/>
      <c r="V49" s="1110"/>
      <c r="W49" s="1110"/>
      <c r="X49" s="1110"/>
      <c r="Y49" s="1110"/>
      <c r="Z49" s="1110"/>
      <c r="AA49" s="1069">
        <f t="shared" si="16"/>
        <v>0</v>
      </c>
      <c r="AB49" s="1113" t="e">
        <f t="shared" si="20"/>
        <v>#DIV/0!</v>
      </c>
      <c r="AC49" s="729"/>
    </row>
    <row r="50" spans="1:32" s="1104" customFormat="1" ht="22.5" customHeight="1" thickTop="1" thickBot="1" x14ac:dyDescent="0.3">
      <c r="A50" s="1098">
        <v>1</v>
      </c>
      <c r="B50" s="1099" t="s">
        <v>216</v>
      </c>
      <c r="C50" s="1099" t="s">
        <v>216</v>
      </c>
      <c r="D50" s="1099" t="s">
        <v>231</v>
      </c>
      <c r="E50" s="1099" t="s">
        <v>231</v>
      </c>
      <c r="F50" s="1099" t="s">
        <v>270</v>
      </c>
      <c r="G50" s="1117"/>
      <c r="H50" s="1099"/>
      <c r="I50" s="1099"/>
      <c r="J50" s="1099"/>
      <c r="K50" s="1100" t="s">
        <v>271</v>
      </c>
      <c r="L50" s="1101">
        <f>SUBTOTAL(9,L51:L53)</f>
        <v>300000000</v>
      </c>
      <c r="M50" s="1101">
        <f t="shared" ref="M50:Z50" si="31">SUBTOTAL(9,M51:M53)</f>
        <v>0</v>
      </c>
      <c r="N50" s="1101">
        <f t="shared" si="31"/>
        <v>0</v>
      </c>
      <c r="O50" s="1101">
        <f t="shared" si="31"/>
        <v>300000000</v>
      </c>
      <c r="P50" s="1101">
        <f t="shared" si="31"/>
        <v>0</v>
      </c>
      <c r="Q50" s="1101"/>
      <c r="R50" s="1101">
        <f t="shared" si="31"/>
        <v>270000000</v>
      </c>
      <c r="S50" s="1101"/>
      <c r="T50" s="1101">
        <f t="shared" si="31"/>
        <v>30000000</v>
      </c>
      <c r="U50" s="1101"/>
      <c r="V50" s="1101">
        <f t="shared" si="31"/>
        <v>0</v>
      </c>
      <c r="W50" s="1101"/>
      <c r="X50" s="1101">
        <f t="shared" si="31"/>
        <v>0</v>
      </c>
      <c r="Y50" s="1101">
        <f t="shared" si="31"/>
        <v>620447065</v>
      </c>
      <c r="Z50" s="1132">
        <f t="shared" si="31"/>
        <v>75864683</v>
      </c>
      <c r="AA50" s="1069">
        <f t="shared" si="16"/>
        <v>696311748</v>
      </c>
      <c r="AB50" s="1102" t="e">
        <f t="shared" si="20"/>
        <v>#DIV/0!</v>
      </c>
      <c r="AC50" s="1103"/>
    </row>
    <row r="51" spans="1:32" ht="22.5" customHeight="1" thickTop="1" thickBot="1" x14ac:dyDescent="0.3">
      <c r="A51" s="425">
        <v>1</v>
      </c>
      <c r="B51" s="505" t="s">
        <v>216</v>
      </c>
      <c r="C51" s="505" t="s">
        <v>216</v>
      </c>
      <c r="D51" s="505" t="s">
        <v>231</v>
      </c>
      <c r="E51" s="505" t="s">
        <v>231</v>
      </c>
      <c r="F51" s="505" t="s">
        <v>270</v>
      </c>
      <c r="G51" s="525">
        <v>1</v>
      </c>
      <c r="H51" s="505"/>
      <c r="I51" s="505"/>
      <c r="J51" s="505"/>
      <c r="K51" s="1108" t="s">
        <v>272</v>
      </c>
      <c r="L51" s="1131">
        <f>+'[6]EJECUCION DE INGRESOS A CORTE 3'!D11</f>
        <v>300000000</v>
      </c>
      <c r="M51" s="1110"/>
      <c r="N51" s="1110"/>
      <c r="O51" s="1111">
        <f>+L51+M51-N51</f>
        <v>300000000</v>
      </c>
      <c r="P51" s="1110"/>
      <c r="Q51" s="1110"/>
      <c r="R51" s="1111">
        <f>+O51*S51</f>
        <v>270000000</v>
      </c>
      <c r="S51" s="745">
        <v>0.9</v>
      </c>
      <c r="T51" s="1111">
        <f>+O51*U51</f>
        <v>30000000</v>
      </c>
      <c r="U51" s="745">
        <v>0.1</v>
      </c>
      <c r="V51" s="1110"/>
      <c r="W51" s="1110"/>
      <c r="X51" s="1110"/>
      <c r="Y51" s="1111">
        <v>620447065</v>
      </c>
      <c r="Z51" s="1112">
        <v>75864683</v>
      </c>
      <c r="AA51" s="1069">
        <f t="shared" si="16"/>
        <v>696311748</v>
      </c>
      <c r="AB51" s="1113" t="e">
        <f t="shared" si="20"/>
        <v>#DIV/0!</v>
      </c>
      <c r="AC51" s="729"/>
      <c r="AF51" s="1114" t="s">
        <v>849</v>
      </c>
    </row>
    <row r="52" spans="1:32" ht="22.5" hidden="1" customHeight="1" thickTop="1" thickBot="1" x14ac:dyDescent="0.3">
      <c r="A52" s="425">
        <v>1</v>
      </c>
      <c r="B52" s="505" t="s">
        <v>216</v>
      </c>
      <c r="C52" s="505" t="s">
        <v>216</v>
      </c>
      <c r="D52" s="505" t="s">
        <v>231</v>
      </c>
      <c r="E52" s="505" t="s">
        <v>231</v>
      </c>
      <c r="F52" s="505" t="s">
        <v>270</v>
      </c>
      <c r="G52" s="525">
        <v>2</v>
      </c>
      <c r="H52" s="505"/>
      <c r="I52" s="505"/>
      <c r="J52" s="505"/>
      <c r="K52" s="609" t="s">
        <v>273</v>
      </c>
      <c r="L52" s="1131"/>
      <c r="M52" s="1110"/>
      <c r="N52" s="1110"/>
      <c r="O52" s="1110">
        <f>+L52+M52-N52</f>
        <v>0</v>
      </c>
      <c r="P52" s="1110"/>
      <c r="Q52" s="1110"/>
      <c r="R52" s="1110">
        <f>+O52*90%</f>
        <v>0</v>
      </c>
      <c r="S52" s="1110"/>
      <c r="T52" s="1110">
        <f>+O52*10%</f>
        <v>0</v>
      </c>
      <c r="U52" s="1110"/>
      <c r="V52" s="1110"/>
      <c r="W52" s="1110"/>
      <c r="X52" s="1110"/>
      <c r="Y52" s="1131"/>
      <c r="Z52" s="1131"/>
      <c r="AA52" s="1069">
        <f t="shared" si="16"/>
        <v>0</v>
      </c>
      <c r="AB52" s="1113" t="e">
        <f t="shared" si="20"/>
        <v>#DIV/0!</v>
      </c>
      <c r="AC52" s="729"/>
    </row>
    <row r="53" spans="1:32" ht="22.5" hidden="1" customHeight="1" thickTop="1" thickBot="1" x14ac:dyDescent="0.3">
      <c r="A53" s="425">
        <v>1</v>
      </c>
      <c r="B53" s="505" t="s">
        <v>216</v>
      </c>
      <c r="C53" s="505" t="s">
        <v>216</v>
      </c>
      <c r="D53" s="505" t="s">
        <v>231</v>
      </c>
      <c r="E53" s="505" t="s">
        <v>231</v>
      </c>
      <c r="F53" s="505" t="s">
        <v>270</v>
      </c>
      <c r="G53" s="525">
        <v>3</v>
      </c>
      <c r="H53" s="505"/>
      <c r="I53" s="505"/>
      <c r="J53" s="505"/>
      <c r="K53" s="609" t="s">
        <v>274</v>
      </c>
      <c r="L53" s="1110"/>
      <c r="M53" s="1110"/>
      <c r="N53" s="1110"/>
      <c r="O53" s="1110">
        <f>+L53+M53-N53</f>
        <v>0</v>
      </c>
      <c r="P53" s="1110"/>
      <c r="Q53" s="1110"/>
      <c r="R53" s="1110"/>
      <c r="S53" s="1110"/>
      <c r="T53" s="1110"/>
      <c r="U53" s="1110"/>
      <c r="V53" s="1110"/>
      <c r="W53" s="1110"/>
      <c r="X53" s="1110"/>
      <c r="Y53" s="1110"/>
      <c r="Z53" s="1110"/>
      <c r="AA53" s="1069">
        <f t="shared" si="16"/>
        <v>0</v>
      </c>
      <c r="AB53" s="1113" t="e">
        <f t="shared" si="20"/>
        <v>#DIV/0!</v>
      </c>
      <c r="AC53" s="729"/>
    </row>
    <row r="54" spans="1:32" s="1104" customFormat="1" ht="22.5" customHeight="1" thickTop="1" thickBot="1" x14ac:dyDescent="0.3">
      <c r="A54" s="1098">
        <v>1</v>
      </c>
      <c r="B54" s="1099" t="s">
        <v>216</v>
      </c>
      <c r="C54" s="1099" t="s">
        <v>216</v>
      </c>
      <c r="D54" s="1099" t="s">
        <v>231</v>
      </c>
      <c r="E54" s="1099" t="s">
        <v>231</v>
      </c>
      <c r="F54" s="1099" t="s">
        <v>275</v>
      </c>
      <c r="G54" s="1117"/>
      <c r="H54" s="1099"/>
      <c r="I54" s="1099"/>
      <c r="J54" s="1099"/>
      <c r="K54" s="1100" t="s">
        <v>276</v>
      </c>
      <c r="L54" s="1101">
        <f t="shared" ref="L54:Z54" si="32">SUBTOTAL(9,L55:L57)</f>
        <v>1200000000</v>
      </c>
      <c r="M54" s="1101">
        <f t="shared" si="32"/>
        <v>0</v>
      </c>
      <c r="N54" s="1101">
        <f t="shared" si="32"/>
        <v>0</v>
      </c>
      <c r="O54" s="1101">
        <f t="shared" si="32"/>
        <v>1200000000</v>
      </c>
      <c r="P54" s="1101">
        <f t="shared" si="32"/>
        <v>0</v>
      </c>
      <c r="Q54" s="1101"/>
      <c r="R54" s="1101">
        <f t="shared" si="32"/>
        <v>1080000000</v>
      </c>
      <c r="S54" s="1101"/>
      <c r="T54" s="1101">
        <f t="shared" si="32"/>
        <v>120000000</v>
      </c>
      <c r="U54" s="1101"/>
      <c r="V54" s="1101">
        <f t="shared" si="32"/>
        <v>0</v>
      </c>
      <c r="W54" s="1101"/>
      <c r="X54" s="1101">
        <f t="shared" si="32"/>
        <v>0</v>
      </c>
      <c r="Y54" s="1101">
        <f t="shared" si="32"/>
        <v>0</v>
      </c>
      <c r="Z54" s="1132">
        <f t="shared" si="32"/>
        <v>44115175</v>
      </c>
      <c r="AA54" s="1069">
        <f t="shared" si="16"/>
        <v>44115175</v>
      </c>
      <c r="AB54" s="1102" t="e">
        <f t="shared" si="20"/>
        <v>#DIV/0!</v>
      </c>
      <c r="AC54" s="1103"/>
    </row>
    <row r="55" spans="1:32" ht="22.5" customHeight="1" thickTop="1" thickBot="1" x14ac:dyDescent="0.3">
      <c r="A55" s="425">
        <v>1</v>
      </c>
      <c r="B55" s="505" t="s">
        <v>216</v>
      </c>
      <c r="C55" s="505" t="s">
        <v>216</v>
      </c>
      <c r="D55" s="505" t="s">
        <v>231</v>
      </c>
      <c r="E55" s="505" t="s">
        <v>231</v>
      </c>
      <c r="F55" s="505" t="s">
        <v>275</v>
      </c>
      <c r="G55" s="525">
        <v>1</v>
      </c>
      <c r="H55" s="505"/>
      <c r="I55" s="505"/>
      <c r="J55" s="505"/>
      <c r="K55" s="1108" t="s">
        <v>277</v>
      </c>
      <c r="L55" s="1110">
        <f>+'[6]EJECUCION DE INGRESOS A CORTE 3'!D10</f>
        <v>1200000000</v>
      </c>
      <c r="M55" s="1110"/>
      <c r="N55" s="1110"/>
      <c r="O55" s="1111">
        <f>+L55+M55-N55</f>
        <v>1200000000</v>
      </c>
      <c r="P55" s="1110"/>
      <c r="Q55" s="1110"/>
      <c r="R55" s="1111">
        <f>+O55*S55</f>
        <v>1080000000</v>
      </c>
      <c r="S55" s="745">
        <v>0.9</v>
      </c>
      <c r="T55" s="1111">
        <f>+O55*U55</f>
        <v>120000000</v>
      </c>
      <c r="U55" s="745">
        <v>0.1</v>
      </c>
      <c r="V55" s="1110"/>
      <c r="W55" s="1110"/>
      <c r="X55" s="1110"/>
      <c r="Y55" s="1131">
        <v>0</v>
      </c>
      <c r="Z55" s="1112">
        <v>44115175</v>
      </c>
      <c r="AA55" s="1069">
        <f t="shared" si="16"/>
        <v>44115175</v>
      </c>
      <c r="AB55" s="1113" t="e">
        <f t="shared" si="20"/>
        <v>#DIV/0!</v>
      </c>
      <c r="AC55" s="729"/>
    </row>
    <row r="56" spans="1:32" ht="22.5" hidden="1" customHeight="1" thickTop="1" thickBot="1" x14ac:dyDescent="0.3">
      <c r="A56" s="425">
        <v>1</v>
      </c>
      <c r="B56" s="505" t="s">
        <v>216</v>
      </c>
      <c r="C56" s="505" t="s">
        <v>216</v>
      </c>
      <c r="D56" s="505" t="s">
        <v>231</v>
      </c>
      <c r="E56" s="505" t="s">
        <v>231</v>
      </c>
      <c r="F56" s="505" t="s">
        <v>275</v>
      </c>
      <c r="G56" s="525">
        <v>2</v>
      </c>
      <c r="H56" s="505"/>
      <c r="I56" s="505"/>
      <c r="J56" s="505"/>
      <c r="K56" s="609" t="s">
        <v>278</v>
      </c>
      <c r="L56" s="1110"/>
      <c r="M56" s="1110"/>
      <c r="N56" s="1110"/>
      <c r="O56" s="1110">
        <f>+L56+M56-N56</f>
        <v>0</v>
      </c>
      <c r="P56" s="1110"/>
      <c r="Q56" s="1110"/>
      <c r="R56" s="1110">
        <f t="shared" ref="R56" si="33">+O56*90%</f>
        <v>0</v>
      </c>
      <c r="S56" s="1110"/>
      <c r="T56" s="1110">
        <f>+O56*10%</f>
        <v>0</v>
      </c>
      <c r="U56" s="1110"/>
      <c r="V56" s="1110"/>
      <c r="W56" s="1110"/>
      <c r="X56" s="1110"/>
      <c r="Y56" s="1131"/>
      <c r="Z56" s="1131"/>
      <c r="AA56" s="1069">
        <f t="shared" si="16"/>
        <v>0</v>
      </c>
      <c r="AB56" s="1113" t="e">
        <f t="shared" si="20"/>
        <v>#DIV/0!</v>
      </c>
      <c r="AC56" s="729"/>
    </row>
    <row r="57" spans="1:32" ht="22.5" hidden="1" customHeight="1" thickTop="1" thickBot="1" x14ac:dyDescent="0.3">
      <c r="A57" s="425">
        <v>1</v>
      </c>
      <c r="B57" s="505" t="s">
        <v>216</v>
      </c>
      <c r="C57" s="505" t="s">
        <v>216</v>
      </c>
      <c r="D57" s="505" t="s">
        <v>231</v>
      </c>
      <c r="E57" s="505" t="s">
        <v>231</v>
      </c>
      <c r="F57" s="505" t="s">
        <v>275</v>
      </c>
      <c r="G57" s="525">
        <v>3</v>
      </c>
      <c r="H57" s="505"/>
      <c r="I57" s="505"/>
      <c r="J57" s="505"/>
      <c r="K57" s="609" t="s">
        <v>279</v>
      </c>
      <c r="L57" s="1110"/>
      <c r="M57" s="1110"/>
      <c r="N57" s="1110"/>
      <c r="O57" s="1110">
        <f>+L57+M57-N57</f>
        <v>0</v>
      </c>
      <c r="P57" s="1110"/>
      <c r="Q57" s="1110"/>
      <c r="R57" s="1110"/>
      <c r="S57" s="1110"/>
      <c r="T57" s="1110"/>
      <c r="U57" s="1110"/>
      <c r="V57" s="1110"/>
      <c r="W57" s="1110"/>
      <c r="X57" s="1110"/>
      <c r="Y57" s="1110"/>
      <c r="Z57" s="1110"/>
      <c r="AA57" s="1069">
        <f t="shared" si="16"/>
        <v>0</v>
      </c>
      <c r="AB57" s="1113" t="e">
        <f t="shared" si="20"/>
        <v>#DIV/0!</v>
      </c>
      <c r="AC57" s="729"/>
    </row>
    <row r="58" spans="1:32" s="1104" customFormat="1" ht="22.5" customHeight="1" thickTop="1" thickBot="1" x14ac:dyDescent="0.3">
      <c r="A58" s="1098">
        <v>1</v>
      </c>
      <c r="B58" s="1099" t="s">
        <v>216</v>
      </c>
      <c r="C58" s="1099" t="s">
        <v>216</v>
      </c>
      <c r="D58" s="1099" t="s">
        <v>231</v>
      </c>
      <c r="E58" s="1099" t="s">
        <v>231</v>
      </c>
      <c r="F58" s="1099" t="s">
        <v>280</v>
      </c>
      <c r="G58" s="1117"/>
      <c r="H58" s="1099"/>
      <c r="I58" s="1099"/>
      <c r="J58" s="1099"/>
      <c r="K58" s="1100" t="s">
        <v>281</v>
      </c>
      <c r="L58" s="1101">
        <f>SUBTOTAL(9,L59:L61)</f>
        <v>1000000</v>
      </c>
      <c r="M58" s="1101">
        <f t="shared" ref="M58:Z58" si="34">SUBTOTAL(9,M59:M61)</f>
        <v>0</v>
      </c>
      <c r="N58" s="1101">
        <f t="shared" si="34"/>
        <v>0</v>
      </c>
      <c r="O58" s="1101">
        <f t="shared" si="34"/>
        <v>1000000</v>
      </c>
      <c r="P58" s="1101">
        <f t="shared" si="34"/>
        <v>0</v>
      </c>
      <c r="Q58" s="1101"/>
      <c r="R58" s="1101">
        <f t="shared" si="34"/>
        <v>900000</v>
      </c>
      <c r="S58" s="1101"/>
      <c r="T58" s="1101">
        <f t="shared" si="34"/>
        <v>100000</v>
      </c>
      <c r="U58" s="1101"/>
      <c r="V58" s="1101">
        <f t="shared" si="34"/>
        <v>0</v>
      </c>
      <c r="W58" s="1101"/>
      <c r="X58" s="1101">
        <f t="shared" si="34"/>
        <v>0</v>
      </c>
      <c r="Y58" s="1101">
        <f t="shared" si="34"/>
        <v>166256333</v>
      </c>
      <c r="Z58" s="1132">
        <f t="shared" si="34"/>
        <v>3256682</v>
      </c>
      <c r="AA58" s="1069">
        <f t="shared" si="16"/>
        <v>169513015</v>
      </c>
      <c r="AB58" s="1102" t="e">
        <f t="shared" si="20"/>
        <v>#DIV/0!</v>
      </c>
      <c r="AC58" s="1103"/>
    </row>
    <row r="59" spans="1:32" ht="22.5" customHeight="1" thickTop="1" thickBot="1" x14ac:dyDescent="0.3">
      <c r="A59" s="425">
        <v>1</v>
      </c>
      <c r="B59" s="505" t="s">
        <v>216</v>
      </c>
      <c r="C59" s="505" t="s">
        <v>216</v>
      </c>
      <c r="D59" s="505" t="s">
        <v>231</v>
      </c>
      <c r="E59" s="505" t="s">
        <v>231</v>
      </c>
      <c r="F59" s="505" t="s">
        <v>280</v>
      </c>
      <c r="G59" s="525">
        <v>1</v>
      </c>
      <c r="H59" s="505"/>
      <c r="I59" s="505"/>
      <c r="J59" s="505"/>
      <c r="K59" s="1108" t="s">
        <v>282</v>
      </c>
      <c r="L59" s="1131">
        <f>+'[6]EJECUCION DE INGRESOS A CORTE 3'!D19</f>
        <v>1000000</v>
      </c>
      <c r="M59" s="1110"/>
      <c r="N59" s="1110"/>
      <c r="O59" s="1111">
        <f>+L59+M59-N59</f>
        <v>1000000</v>
      </c>
      <c r="P59" s="1110">
        <f>+O59*Q59</f>
        <v>0</v>
      </c>
      <c r="Q59" s="745"/>
      <c r="R59" s="1111">
        <f>+O59*S59</f>
        <v>900000</v>
      </c>
      <c r="S59" s="745">
        <v>0.9</v>
      </c>
      <c r="T59" s="1111">
        <f>+O59*U59</f>
        <v>100000</v>
      </c>
      <c r="U59" s="745">
        <v>0.1</v>
      </c>
      <c r="V59" s="1110"/>
      <c r="W59" s="1110"/>
      <c r="X59" s="1110"/>
      <c r="Y59" s="1111">
        <v>166256333</v>
      </c>
      <c r="Z59" s="1112">
        <v>3256682</v>
      </c>
      <c r="AA59" s="1069">
        <f t="shared" si="16"/>
        <v>169513015</v>
      </c>
      <c r="AB59" s="1113" t="e">
        <f t="shared" si="20"/>
        <v>#DIV/0!</v>
      </c>
      <c r="AC59" s="729"/>
    </row>
    <row r="60" spans="1:32" ht="22.5" hidden="1" customHeight="1" thickTop="1" thickBot="1" x14ac:dyDescent="0.3">
      <c r="A60" s="425">
        <v>1</v>
      </c>
      <c r="B60" s="505" t="s">
        <v>216</v>
      </c>
      <c r="C60" s="505" t="s">
        <v>216</v>
      </c>
      <c r="D60" s="505" t="s">
        <v>231</v>
      </c>
      <c r="E60" s="505" t="s">
        <v>231</v>
      </c>
      <c r="F60" s="505" t="s">
        <v>280</v>
      </c>
      <c r="G60" s="525">
        <v>2</v>
      </c>
      <c r="H60" s="505"/>
      <c r="I60" s="505"/>
      <c r="J60" s="505"/>
      <c r="K60" s="609" t="s">
        <v>283</v>
      </c>
      <c r="L60" s="1131"/>
      <c r="M60" s="1110"/>
      <c r="N60" s="1110"/>
      <c r="O60" s="1110">
        <f>+L60+M60-N60</f>
        <v>0</v>
      </c>
      <c r="P60" s="1110"/>
      <c r="Q60" s="1110"/>
      <c r="R60" s="1131">
        <f>+O60</f>
        <v>0</v>
      </c>
      <c r="S60" s="1131"/>
      <c r="T60" s="1110"/>
      <c r="U60" s="1110"/>
      <c r="V60" s="1110"/>
      <c r="W60" s="1110"/>
      <c r="X60" s="1110"/>
      <c r="Y60" s="1110"/>
      <c r="Z60" s="1110"/>
      <c r="AA60" s="1069">
        <f t="shared" si="16"/>
        <v>0</v>
      </c>
      <c r="AB60" s="1113" t="e">
        <f t="shared" si="20"/>
        <v>#DIV/0!</v>
      </c>
      <c r="AC60" s="729"/>
    </row>
    <row r="61" spans="1:32" ht="22.5" hidden="1" customHeight="1" thickTop="1" thickBot="1" x14ac:dyDescent="0.3">
      <c r="A61" s="425">
        <v>1</v>
      </c>
      <c r="B61" s="505" t="s">
        <v>216</v>
      </c>
      <c r="C61" s="505" t="s">
        <v>216</v>
      </c>
      <c r="D61" s="505" t="s">
        <v>231</v>
      </c>
      <c r="E61" s="505" t="s">
        <v>231</v>
      </c>
      <c r="F61" s="505" t="s">
        <v>280</v>
      </c>
      <c r="G61" s="525">
        <v>3</v>
      </c>
      <c r="H61" s="505"/>
      <c r="I61" s="505"/>
      <c r="J61" s="505"/>
      <c r="K61" s="609" t="s">
        <v>284</v>
      </c>
      <c r="L61" s="1131"/>
      <c r="M61" s="1110"/>
      <c r="N61" s="1110"/>
      <c r="O61" s="1110">
        <f>+L61+M61-N61</f>
        <v>0</v>
      </c>
      <c r="P61" s="1110"/>
      <c r="Q61" s="1110"/>
      <c r="R61" s="1110"/>
      <c r="S61" s="1110"/>
      <c r="T61" s="1110"/>
      <c r="U61" s="1110"/>
      <c r="V61" s="1110"/>
      <c r="W61" s="1110"/>
      <c r="X61" s="1110"/>
      <c r="Y61" s="1110"/>
      <c r="Z61" s="1110"/>
      <c r="AA61" s="1069">
        <f t="shared" si="16"/>
        <v>0</v>
      </c>
      <c r="AB61" s="1113" t="e">
        <f t="shared" si="20"/>
        <v>#DIV/0!</v>
      </c>
      <c r="AC61" s="729"/>
    </row>
    <row r="62" spans="1:32" s="1104" customFormat="1" ht="22.5" customHeight="1" thickTop="1" thickBot="1" x14ac:dyDescent="0.3">
      <c r="A62" s="1098">
        <v>1</v>
      </c>
      <c r="B62" s="1099" t="s">
        <v>216</v>
      </c>
      <c r="C62" s="1099" t="s">
        <v>216</v>
      </c>
      <c r="D62" s="1099" t="s">
        <v>231</v>
      </c>
      <c r="E62" s="1099" t="s">
        <v>231</v>
      </c>
      <c r="F62" s="1099" t="s">
        <v>285</v>
      </c>
      <c r="G62" s="1117"/>
      <c r="H62" s="1099"/>
      <c r="I62" s="1099"/>
      <c r="J62" s="1099"/>
      <c r="K62" s="1100" t="s">
        <v>286</v>
      </c>
      <c r="L62" s="1101">
        <f>SUBTOTAL(9,L63:L65)</f>
        <v>1000000</v>
      </c>
      <c r="M62" s="1101">
        <f t="shared" ref="M62:Z62" si="35">SUBTOTAL(9,M63:M65)</f>
        <v>0</v>
      </c>
      <c r="N62" s="1101">
        <f t="shared" si="35"/>
        <v>0</v>
      </c>
      <c r="O62" s="1101">
        <f t="shared" si="35"/>
        <v>1000000</v>
      </c>
      <c r="P62" s="1101">
        <f t="shared" si="35"/>
        <v>0</v>
      </c>
      <c r="Q62" s="1101"/>
      <c r="R62" s="1101">
        <f t="shared" si="35"/>
        <v>900000</v>
      </c>
      <c r="S62" s="1101"/>
      <c r="T62" s="1101">
        <f t="shared" si="35"/>
        <v>100000</v>
      </c>
      <c r="U62" s="1101"/>
      <c r="V62" s="1101">
        <f t="shared" si="35"/>
        <v>0</v>
      </c>
      <c r="W62" s="1101"/>
      <c r="X62" s="1101">
        <f t="shared" si="35"/>
        <v>0</v>
      </c>
      <c r="Y62" s="1101">
        <f t="shared" si="35"/>
        <v>16927351</v>
      </c>
      <c r="Z62" s="1132">
        <f t="shared" si="35"/>
        <v>19944113</v>
      </c>
      <c r="AA62" s="1069">
        <f t="shared" si="16"/>
        <v>36871464</v>
      </c>
      <c r="AB62" s="1102" t="e">
        <f t="shared" si="20"/>
        <v>#DIV/0!</v>
      </c>
      <c r="AC62" s="1103"/>
    </row>
    <row r="63" spans="1:32" ht="22.5" customHeight="1" thickTop="1" thickBot="1" x14ac:dyDescent="0.3">
      <c r="A63" s="425">
        <v>1</v>
      </c>
      <c r="B63" s="505" t="s">
        <v>216</v>
      </c>
      <c r="C63" s="505" t="s">
        <v>216</v>
      </c>
      <c r="D63" s="505" t="s">
        <v>231</v>
      </c>
      <c r="E63" s="505" t="s">
        <v>231</v>
      </c>
      <c r="F63" s="505" t="s">
        <v>285</v>
      </c>
      <c r="G63" s="525">
        <v>1</v>
      </c>
      <c r="H63" s="505"/>
      <c r="I63" s="505"/>
      <c r="J63" s="505"/>
      <c r="K63" s="1108" t="s">
        <v>287</v>
      </c>
      <c r="L63" s="1110">
        <f>+'[6]EJECUCION DE INGRESOS A CORTE 3'!D17</f>
        <v>1000000</v>
      </c>
      <c r="M63" s="1110"/>
      <c r="N63" s="1110"/>
      <c r="O63" s="1111">
        <f>+L63+M63-N63</f>
        <v>1000000</v>
      </c>
      <c r="P63" s="1110"/>
      <c r="Q63" s="1110"/>
      <c r="R63" s="1111">
        <f>+O63*S63</f>
        <v>900000</v>
      </c>
      <c r="S63" s="745">
        <v>0.9</v>
      </c>
      <c r="T63" s="1111">
        <f>+O63*U63</f>
        <v>100000</v>
      </c>
      <c r="U63" s="745">
        <v>0.1</v>
      </c>
      <c r="V63" s="1110"/>
      <c r="W63" s="1110"/>
      <c r="X63" s="1110"/>
      <c r="Y63" s="1111">
        <v>16927351</v>
      </c>
      <c r="Z63" s="1112">
        <v>19944113</v>
      </c>
      <c r="AA63" s="1069">
        <f t="shared" si="16"/>
        <v>36871464</v>
      </c>
      <c r="AB63" s="1113" t="e">
        <f t="shared" si="20"/>
        <v>#DIV/0!</v>
      </c>
      <c r="AC63" s="729"/>
    </row>
    <row r="64" spans="1:32" ht="22.5" hidden="1" customHeight="1" thickTop="1" thickBot="1" x14ac:dyDescent="0.3">
      <c r="A64" s="425">
        <v>1</v>
      </c>
      <c r="B64" s="505" t="s">
        <v>216</v>
      </c>
      <c r="C64" s="505" t="s">
        <v>216</v>
      </c>
      <c r="D64" s="505" t="s">
        <v>231</v>
      </c>
      <c r="E64" s="505" t="s">
        <v>231</v>
      </c>
      <c r="F64" s="505" t="s">
        <v>285</v>
      </c>
      <c r="G64" s="525">
        <v>2</v>
      </c>
      <c r="H64" s="505"/>
      <c r="I64" s="505"/>
      <c r="J64" s="505"/>
      <c r="K64" s="609" t="s">
        <v>288</v>
      </c>
      <c r="L64" s="1110"/>
      <c r="M64" s="1110"/>
      <c r="N64" s="1110"/>
      <c r="O64" s="1110">
        <f>+L64+M64-N64</f>
        <v>0</v>
      </c>
      <c r="P64" s="1110"/>
      <c r="Q64" s="1110"/>
      <c r="R64" s="1110"/>
      <c r="S64" s="1110"/>
      <c r="T64" s="1110"/>
      <c r="U64" s="1110"/>
      <c r="V64" s="1110"/>
      <c r="W64" s="1110"/>
      <c r="X64" s="1110"/>
      <c r="Y64" s="1110"/>
      <c r="Z64" s="1110"/>
      <c r="AA64" s="1069">
        <f t="shared" si="16"/>
        <v>0</v>
      </c>
      <c r="AB64" s="1113" t="e">
        <f t="shared" si="20"/>
        <v>#DIV/0!</v>
      </c>
      <c r="AC64" s="729"/>
    </row>
    <row r="65" spans="1:29" ht="22.5" hidden="1" customHeight="1" thickTop="1" thickBot="1" x14ac:dyDescent="0.3">
      <c r="A65" s="425">
        <v>1</v>
      </c>
      <c r="B65" s="505" t="s">
        <v>216</v>
      </c>
      <c r="C65" s="505" t="s">
        <v>216</v>
      </c>
      <c r="D65" s="505" t="s">
        <v>231</v>
      </c>
      <c r="E65" s="505" t="s">
        <v>231</v>
      </c>
      <c r="F65" s="505" t="s">
        <v>285</v>
      </c>
      <c r="G65" s="525">
        <v>3</v>
      </c>
      <c r="H65" s="505"/>
      <c r="I65" s="505"/>
      <c r="J65" s="505"/>
      <c r="K65" s="609" t="s">
        <v>289</v>
      </c>
      <c r="L65" s="1110"/>
      <c r="M65" s="1110"/>
      <c r="N65" s="1110"/>
      <c r="O65" s="1110">
        <f>+L65+M65-N65</f>
        <v>0</v>
      </c>
      <c r="P65" s="1110"/>
      <c r="Q65" s="1110"/>
      <c r="R65" s="1110"/>
      <c r="S65" s="1110"/>
      <c r="T65" s="1110"/>
      <c r="U65" s="1110"/>
      <c r="V65" s="1110"/>
      <c r="W65" s="1110"/>
      <c r="X65" s="1110"/>
      <c r="Y65" s="1110"/>
      <c r="Z65" s="1110"/>
      <c r="AA65" s="1069">
        <f t="shared" si="16"/>
        <v>0</v>
      </c>
      <c r="AB65" s="1113" t="e">
        <f t="shared" si="20"/>
        <v>#DIV/0!</v>
      </c>
      <c r="AC65" s="729"/>
    </row>
    <row r="66" spans="1:29" s="1104" customFormat="1" ht="22.5" customHeight="1" thickTop="1" thickBot="1" x14ac:dyDescent="0.3">
      <c r="A66" s="1098">
        <v>1</v>
      </c>
      <c r="B66" s="1099" t="s">
        <v>216</v>
      </c>
      <c r="C66" s="1099" t="s">
        <v>216</v>
      </c>
      <c r="D66" s="1099" t="s">
        <v>231</v>
      </c>
      <c r="E66" s="1099" t="s">
        <v>231</v>
      </c>
      <c r="F66" s="1099" t="s">
        <v>290</v>
      </c>
      <c r="G66" s="1117"/>
      <c r="H66" s="1099"/>
      <c r="I66" s="1099"/>
      <c r="J66" s="1099"/>
      <c r="K66" s="1100" t="s">
        <v>291</v>
      </c>
      <c r="L66" s="1101">
        <f>SUBTOTAL(9,L67:L69)</f>
        <v>1700000000</v>
      </c>
      <c r="M66" s="1101">
        <f t="shared" ref="M66:Z66" si="36">SUBTOTAL(9,M67:M69)</f>
        <v>0</v>
      </c>
      <c r="N66" s="1101">
        <f t="shared" si="36"/>
        <v>0</v>
      </c>
      <c r="O66" s="1101">
        <f t="shared" si="36"/>
        <v>1700000000</v>
      </c>
      <c r="P66" s="1101">
        <f t="shared" si="36"/>
        <v>0</v>
      </c>
      <c r="Q66" s="1101"/>
      <c r="R66" s="1101">
        <f t="shared" si="36"/>
        <v>1700000000</v>
      </c>
      <c r="S66" s="1101"/>
      <c r="T66" s="1101">
        <f t="shared" si="36"/>
        <v>0</v>
      </c>
      <c r="U66" s="1101"/>
      <c r="V66" s="1101">
        <f t="shared" si="36"/>
        <v>0</v>
      </c>
      <c r="W66" s="1101"/>
      <c r="X66" s="1101">
        <f t="shared" si="36"/>
        <v>0</v>
      </c>
      <c r="Y66" s="1101">
        <f t="shared" si="36"/>
        <v>1251862650</v>
      </c>
      <c r="Z66" s="1101">
        <f t="shared" si="36"/>
        <v>1247920000</v>
      </c>
      <c r="AA66" s="1069">
        <f t="shared" si="16"/>
        <v>2499782650</v>
      </c>
      <c r="AB66" s="1102" t="e">
        <f t="shared" si="20"/>
        <v>#DIV/0!</v>
      </c>
      <c r="AC66" s="1103"/>
    </row>
    <row r="67" spans="1:29" ht="22.5" customHeight="1" thickTop="1" thickBot="1" x14ac:dyDescent="0.3">
      <c r="A67" s="425">
        <v>1</v>
      </c>
      <c r="B67" s="505" t="s">
        <v>216</v>
      </c>
      <c r="C67" s="505" t="s">
        <v>216</v>
      </c>
      <c r="D67" s="505" t="s">
        <v>231</v>
      </c>
      <c r="E67" s="505" t="s">
        <v>231</v>
      </c>
      <c r="F67" s="505" t="s">
        <v>290</v>
      </c>
      <c r="G67" s="525">
        <v>1</v>
      </c>
      <c r="H67" s="505"/>
      <c r="I67" s="505"/>
      <c r="J67" s="505"/>
      <c r="K67" s="1108" t="s">
        <v>292</v>
      </c>
      <c r="L67" s="1110">
        <f>+'[6]EJECUCION DE INGRESOS A CORTE 3'!D7</f>
        <v>1700000000</v>
      </c>
      <c r="M67" s="1110"/>
      <c r="N67" s="1110"/>
      <c r="O67" s="1111">
        <f>+L67+M67-N67</f>
        <v>1700000000</v>
      </c>
      <c r="P67" s="1110"/>
      <c r="Q67" s="1110"/>
      <c r="R67" s="1111">
        <f>+O67*S67</f>
        <v>1700000000</v>
      </c>
      <c r="S67" s="745">
        <v>1</v>
      </c>
      <c r="T67" s="1110">
        <f>+O67*U67</f>
        <v>0</v>
      </c>
      <c r="U67" s="745">
        <v>0</v>
      </c>
      <c r="V67" s="1110"/>
      <c r="W67" s="1110"/>
      <c r="X67" s="1110"/>
      <c r="Y67" s="1111">
        <v>1251862650</v>
      </c>
      <c r="Z67" s="1112">
        <v>1247920000</v>
      </c>
      <c r="AA67" s="1069">
        <f t="shared" si="16"/>
        <v>2499782650</v>
      </c>
      <c r="AB67" s="1113" t="e">
        <f t="shared" si="20"/>
        <v>#DIV/0!</v>
      </c>
      <c r="AC67" s="729"/>
    </row>
    <row r="68" spans="1:29" ht="22.5" hidden="1" customHeight="1" thickTop="1" thickBot="1" x14ac:dyDescent="0.3">
      <c r="A68" s="425">
        <v>1</v>
      </c>
      <c r="B68" s="505" t="s">
        <v>216</v>
      </c>
      <c r="C68" s="505" t="s">
        <v>216</v>
      </c>
      <c r="D68" s="505" t="s">
        <v>231</v>
      </c>
      <c r="E68" s="505" t="s">
        <v>231</v>
      </c>
      <c r="F68" s="505" t="s">
        <v>290</v>
      </c>
      <c r="G68" s="525">
        <v>2</v>
      </c>
      <c r="H68" s="505"/>
      <c r="I68" s="505"/>
      <c r="J68" s="505"/>
      <c r="K68" s="609" t="s">
        <v>293</v>
      </c>
      <c r="L68" s="1110"/>
      <c r="M68" s="1110"/>
      <c r="N68" s="1110"/>
      <c r="O68" s="1110">
        <f>+L68+M68-N68</f>
        <v>0</v>
      </c>
      <c r="P68" s="1110"/>
      <c r="Q68" s="1110"/>
      <c r="R68" s="1110"/>
      <c r="S68" s="1110"/>
      <c r="T68" s="1110"/>
      <c r="U68" s="1110"/>
      <c r="V68" s="1110"/>
      <c r="W68" s="1110"/>
      <c r="X68" s="1110"/>
      <c r="Y68" s="1110"/>
      <c r="Z68" s="1110"/>
      <c r="AA68" s="1069">
        <f t="shared" si="16"/>
        <v>0</v>
      </c>
      <c r="AB68" s="1113" t="e">
        <f t="shared" si="20"/>
        <v>#DIV/0!</v>
      </c>
      <c r="AC68" s="729"/>
    </row>
    <row r="69" spans="1:29" ht="22.5" hidden="1" customHeight="1" thickTop="1" thickBot="1" x14ac:dyDescent="0.3">
      <c r="A69" s="425">
        <v>1</v>
      </c>
      <c r="B69" s="505" t="s">
        <v>216</v>
      </c>
      <c r="C69" s="505" t="s">
        <v>216</v>
      </c>
      <c r="D69" s="505" t="s">
        <v>231</v>
      </c>
      <c r="E69" s="505" t="s">
        <v>231</v>
      </c>
      <c r="F69" s="505" t="s">
        <v>290</v>
      </c>
      <c r="G69" s="525">
        <v>3</v>
      </c>
      <c r="H69" s="505"/>
      <c r="I69" s="505"/>
      <c r="J69" s="505"/>
      <c r="K69" s="609" t="s">
        <v>294</v>
      </c>
      <c r="L69" s="1110"/>
      <c r="M69" s="1110"/>
      <c r="N69" s="1110"/>
      <c r="O69" s="1110">
        <f>+L69+M69-N69</f>
        <v>0</v>
      </c>
      <c r="P69" s="1110"/>
      <c r="Q69" s="1110"/>
      <c r="R69" s="1110"/>
      <c r="S69" s="1110"/>
      <c r="T69" s="1110"/>
      <c r="U69" s="1110"/>
      <c r="V69" s="1110"/>
      <c r="W69" s="1110"/>
      <c r="X69" s="1110"/>
      <c r="Y69" s="1110"/>
      <c r="Z69" s="1110"/>
      <c r="AA69" s="1069">
        <f t="shared" si="16"/>
        <v>0</v>
      </c>
      <c r="AB69" s="1113" t="e">
        <f t="shared" si="20"/>
        <v>#DIV/0!</v>
      </c>
      <c r="AC69" s="729"/>
    </row>
    <row r="70" spans="1:29" s="1104" customFormat="1" ht="39" hidden="1" customHeight="1" thickTop="1" thickBot="1" x14ac:dyDescent="0.3">
      <c r="A70" s="1098">
        <v>1</v>
      </c>
      <c r="B70" s="1099" t="s">
        <v>216</v>
      </c>
      <c r="C70" s="1099" t="s">
        <v>216</v>
      </c>
      <c r="D70" s="1099" t="s">
        <v>231</v>
      </c>
      <c r="E70" s="1099" t="s">
        <v>231</v>
      </c>
      <c r="F70" s="1099" t="s">
        <v>295</v>
      </c>
      <c r="G70" s="1117"/>
      <c r="H70" s="1099"/>
      <c r="I70" s="1099"/>
      <c r="J70" s="1099"/>
      <c r="K70" s="1100" t="s">
        <v>296</v>
      </c>
      <c r="L70" s="1101">
        <f>SUBTOTAL(9,L71:L73)</f>
        <v>0</v>
      </c>
      <c r="M70" s="1101">
        <f t="shared" ref="M70:Z70" si="37">SUBTOTAL(9,M71:M73)</f>
        <v>0</v>
      </c>
      <c r="N70" s="1101">
        <f t="shared" si="37"/>
        <v>0</v>
      </c>
      <c r="O70" s="1101">
        <f t="shared" si="37"/>
        <v>0</v>
      </c>
      <c r="P70" s="1101">
        <f t="shared" si="37"/>
        <v>0</v>
      </c>
      <c r="Q70" s="1101"/>
      <c r="R70" s="1101">
        <f t="shared" si="37"/>
        <v>0</v>
      </c>
      <c r="S70" s="1101"/>
      <c r="T70" s="1101">
        <f t="shared" si="37"/>
        <v>0</v>
      </c>
      <c r="U70" s="1101"/>
      <c r="V70" s="1101">
        <f t="shared" si="37"/>
        <v>0</v>
      </c>
      <c r="W70" s="1101"/>
      <c r="X70" s="1101">
        <f t="shared" si="37"/>
        <v>0</v>
      </c>
      <c r="Y70" s="1101">
        <f t="shared" si="37"/>
        <v>0</v>
      </c>
      <c r="Z70" s="1101">
        <f t="shared" si="37"/>
        <v>0</v>
      </c>
      <c r="AA70" s="1069">
        <f t="shared" si="16"/>
        <v>0</v>
      </c>
      <c r="AB70" s="1102" t="e">
        <f t="shared" si="20"/>
        <v>#DIV/0!</v>
      </c>
      <c r="AC70" s="1103"/>
    </row>
    <row r="71" spans="1:29" ht="22.5" hidden="1" customHeight="1" thickTop="1" thickBot="1" x14ac:dyDescent="0.3">
      <c r="A71" s="425">
        <v>1</v>
      </c>
      <c r="B71" s="505" t="s">
        <v>216</v>
      </c>
      <c r="C71" s="505" t="s">
        <v>216</v>
      </c>
      <c r="D71" s="505" t="s">
        <v>231</v>
      </c>
      <c r="E71" s="505" t="s">
        <v>231</v>
      </c>
      <c r="F71" s="505" t="s">
        <v>295</v>
      </c>
      <c r="G71" s="525">
        <v>1</v>
      </c>
      <c r="H71" s="505"/>
      <c r="I71" s="505"/>
      <c r="J71" s="505"/>
      <c r="K71" s="609" t="s">
        <v>297</v>
      </c>
      <c r="L71" s="1110"/>
      <c r="M71" s="1110"/>
      <c r="N71" s="1110"/>
      <c r="O71" s="1110">
        <f>+L71+M71-N71</f>
        <v>0</v>
      </c>
      <c r="P71" s="1110"/>
      <c r="Q71" s="1110"/>
      <c r="R71" s="1110"/>
      <c r="S71" s="1110"/>
      <c r="T71" s="1110"/>
      <c r="U71" s="1110"/>
      <c r="V71" s="1110"/>
      <c r="W71" s="1110"/>
      <c r="X71" s="1110"/>
      <c r="Y71" s="1110"/>
      <c r="Z71" s="1110">
        <v>0</v>
      </c>
      <c r="AA71" s="1069">
        <f t="shared" si="16"/>
        <v>0</v>
      </c>
      <c r="AB71" s="1113" t="e">
        <f t="shared" si="20"/>
        <v>#DIV/0!</v>
      </c>
      <c r="AC71" s="729"/>
    </row>
    <row r="72" spans="1:29" ht="22.5" hidden="1" customHeight="1" thickTop="1" thickBot="1" x14ac:dyDescent="0.3">
      <c r="A72" s="425">
        <v>1</v>
      </c>
      <c r="B72" s="505" t="s">
        <v>216</v>
      </c>
      <c r="C72" s="505" t="s">
        <v>216</v>
      </c>
      <c r="D72" s="505" t="s">
        <v>231</v>
      </c>
      <c r="E72" s="505" t="s">
        <v>231</v>
      </c>
      <c r="F72" s="505" t="s">
        <v>295</v>
      </c>
      <c r="G72" s="525">
        <v>2</v>
      </c>
      <c r="H72" s="505"/>
      <c r="I72" s="505"/>
      <c r="J72" s="505"/>
      <c r="K72" s="609" t="s">
        <v>298</v>
      </c>
      <c r="L72" s="1110"/>
      <c r="M72" s="1110"/>
      <c r="N72" s="1110"/>
      <c r="O72" s="1110">
        <f>+L72+M72-N72</f>
        <v>0</v>
      </c>
      <c r="P72" s="1110"/>
      <c r="Q72" s="1110"/>
      <c r="R72" s="1110"/>
      <c r="S72" s="1110"/>
      <c r="T72" s="1110"/>
      <c r="U72" s="1110"/>
      <c r="V72" s="1110"/>
      <c r="W72" s="1110"/>
      <c r="X72" s="1110"/>
      <c r="Y72" s="1110"/>
      <c r="Z72" s="1110"/>
      <c r="AA72" s="1069">
        <f t="shared" si="16"/>
        <v>0</v>
      </c>
      <c r="AB72" s="1113" t="e">
        <f t="shared" si="20"/>
        <v>#DIV/0!</v>
      </c>
      <c r="AC72" s="729"/>
    </row>
    <row r="73" spans="1:29" ht="22.5" hidden="1" customHeight="1" thickTop="1" thickBot="1" x14ac:dyDescent="0.3">
      <c r="A73" s="425">
        <v>1</v>
      </c>
      <c r="B73" s="505" t="s">
        <v>216</v>
      </c>
      <c r="C73" s="505" t="s">
        <v>216</v>
      </c>
      <c r="D73" s="505" t="s">
        <v>231</v>
      </c>
      <c r="E73" s="505" t="s">
        <v>231</v>
      </c>
      <c r="F73" s="505" t="s">
        <v>295</v>
      </c>
      <c r="G73" s="525">
        <v>3</v>
      </c>
      <c r="H73" s="505"/>
      <c r="I73" s="505"/>
      <c r="J73" s="505"/>
      <c r="K73" s="609" t="s">
        <v>299</v>
      </c>
      <c r="L73" s="1110"/>
      <c r="M73" s="1110"/>
      <c r="N73" s="1110"/>
      <c r="O73" s="1110">
        <f>+L73+M73-N73</f>
        <v>0</v>
      </c>
      <c r="P73" s="1110"/>
      <c r="Q73" s="1110"/>
      <c r="R73" s="1110"/>
      <c r="S73" s="1110"/>
      <c r="T73" s="1110"/>
      <c r="U73" s="1110"/>
      <c r="V73" s="1110"/>
      <c r="W73" s="1110"/>
      <c r="X73" s="1110"/>
      <c r="Y73" s="1110"/>
      <c r="Z73" s="1110"/>
      <c r="AA73" s="1069">
        <f t="shared" si="16"/>
        <v>0</v>
      </c>
      <c r="AB73" s="1113" t="e">
        <f t="shared" si="20"/>
        <v>#DIV/0!</v>
      </c>
      <c r="AC73" s="729"/>
    </row>
    <row r="74" spans="1:29" s="1104" customFormat="1" ht="22.5" customHeight="1" thickTop="1" thickBot="1" x14ac:dyDescent="0.3">
      <c r="A74" s="1098">
        <v>1</v>
      </c>
      <c r="B74" s="1099" t="s">
        <v>216</v>
      </c>
      <c r="C74" s="1099" t="s">
        <v>216</v>
      </c>
      <c r="D74" s="1099" t="s">
        <v>231</v>
      </c>
      <c r="E74" s="1099" t="s">
        <v>231</v>
      </c>
      <c r="F74" s="1099" t="s">
        <v>300</v>
      </c>
      <c r="G74" s="1117"/>
      <c r="H74" s="1099"/>
      <c r="I74" s="1099"/>
      <c r="J74" s="1099"/>
      <c r="K74" s="1100" t="s">
        <v>301</v>
      </c>
      <c r="L74" s="1101">
        <f>SUM(L75:L77)</f>
        <v>1000000</v>
      </c>
      <c r="M74" s="1101">
        <f t="shared" ref="M74:Z74" si="38">SUM(M75:M77)</f>
        <v>0</v>
      </c>
      <c r="N74" s="1101">
        <f t="shared" si="38"/>
        <v>0</v>
      </c>
      <c r="O74" s="1101">
        <f t="shared" si="38"/>
        <v>1000000</v>
      </c>
      <c r="P74" s="1101">
        <f t="shared" si="38"/>
        <v>0</v>
      </c>
      <c r="Q74" s="1101"/>
      <c r="R74" s="1101">
        <f t="shared" si="38"/>
        <v>900000</v>
      </c>
      <c r="S74" s="1101"/>
      <c r="T74" s="1101">
        <f t="shared" si="38"/>
        <v>100000</v>
      </c>
      <c r="U74" s="1101"/>
      <c r="V74" s="1101">
        <f t="shared" si="38"/>
        <v>0</v>
      </c>
      <c r="W74" s="1101"/>
      <c r="X74" s="1101">
        <f t="shared" si="38"/>
        <v>0</v>
      </c>
      <c r="Y74" s="1101">
        <f t="shared" si="38"/>
        <v>372940</v>
      </c>
      <c r="Z74" s="1101">
        <f t="shared" si="38"/>
        <v>465920</v>
      </c>
      <c r="AA74" s="1069">
        <f t="shared" si="16"/>
        <v>838860</v>
      </c>
      <c r="AB74" s="1102" t="e">
        <f t="shared" si="20"/>
        <v>#DIV/0!</v>
      </c>
      <c r="AC74" s="1103"/>
    </row>
    <row r="75" spans="1:29" ht="22.5" customHeight="1" thickTop="1" thickBot="1" x14ac:dyDescent="0.3">
      <c r="A75" s="425">
        <v>1</v>
      </c>
      <c r="B75" s="505" t="s">
        <v>216</v>
      </c>
      <c r="C75" s="505" t="s">
        <v>216</v>
      </c>
      <c r="D75" s="505" t="s">
        <v>231</v>
      </c>
      <c r="E75" s="505" t="s">
        <v>231</v>
      </c>
      <c r="F75" s="505" t="s">
        <v>300</v>
      </c>
      <c r="G75" s="525">
        <v>1</v>
      </c>
      <c r="H75" s="505"/>
      <c r="I75" s="505"/>
      <c r="J75" s="505"/>
      <c r="K75" s="1108" t="s">
        <v>302</v>
      </c>
      <c r="L75" s="1110">
        <f>+'[6]EJECUCION DE INGRESOS A CORTE 3'!D12</f>
        <v>1000000</v>
      </c>
      <c r="M75" s="1110"/>
      <c r="N75" s="1110"/>
      <c r="O75" s="1111">
        <f>+L75+M75-N75</f>
        <v>1000000</v>
      </c>
      <c r="P75" s="1110"/>
      <c r="Q75" s="1110"/>
      <c r="R75" s="1111">
        <f>+O75*S75</f>
        <v>900000</v>
      </c>
      <c r="S75" s="745">
        <v>0.9</v>
      </c>
      <c r="T75" s="1111">
        <f>+O75*U75</f>
        <v>100000</v>
      </c>
      <c r="U75" s="745">
        <v>0.1</v>
      </c>
      <c r="V75" s="1110"/>
      <c r="W75" s="1110"/>
      <c r="X75" s="1110"/>
      <c r="Y75" s="1111">
        <v>372940</v>
      </c>
      <c r="Z75" s="1112">
        <v>465920</v>
      </c>
      <c r="AA75" s="1069">
        <f t="shared" si="16"/>
        <v>838860</v>
      </c>
      <c r="AB75" s="1113" t="e">
        <f t="shared" si="20"/>
        <v>#DIV/0!</v>
      </c>
      <c r="AC75" s="729"/>
    </row>
    <row r="76" spans="1:29" ht="22.5" hidden="1" customHeight="1" thickTop="1" thickBot="1" x14ac:dyDescent="0.3">
      <c r="A76" s="425">
        <v>1</v>
      </c>
      <c r="B76" s="505" t="s">
        <v>216</v>
      </c>
      <c r="C76" s="505" t="s">
        <v>216</v>
      </c>
      <c r="D76" s="505" t="s">
        <v>231</v>
      </c>
      <c r="E76" s="505" t="s">
        <v>231</v>
      </c>
      <c r="F76" s="505" t="s">
        <v>300</v>
      </c>
      <c r="G76" s="525">
        <v>2</v>
      </c>
      <c r="H76" s="505"/>
      <c r="I76" s="505"/>
      <c r="J76" s="505"/>
      <c r="K76" s="609" t="s">
        <v>303</v>
      </c>
      <c r="L76" s="1110"/>
      <c r="M76" s="1110"/>
      <c r="N76" s="1110"/>
      <c r="O76" s="1110">
        <f>+L76+M76-N76</f>
        <v>0</v>
      </c>
      <c r="P76" s="1110"/>
      <c r="Q76" s="1110"/>
      <c r="R76" s="1110"/>
      <c r="S76" s="1110"/>
      <c r="T76" s="1110"/>
      <c r="U76" s="1110"/>
      <c r="V76" s="1110"/>
      <c r="W76" s="1110"/>
      <c r="X76" s="1110"/>
      <c r="Y76" s="1110"/>
      <c r="Z76" s="1110"/>
      <c r="AA76" s="1069">
        <f t="shared" si="16"/>
        <v>0</v>
      </c>
      <c r="AB76" s="1113" t="e">
        <f t="shared" si="20"/>
        <v>#DIV/0!</v>
      </c>
      <c r="AC76" s="729"/>
    </row>
    <row r="77" spans="1:29" ht="22.5" hidden="1" customHeight="1" thickTop="1" thickBot="1" x14ac:dyDescent="0.3">
      <c r="A77" s="425">
        <v>1</v>
      </c>
      <c r="B77" s="505" t="s">
        <v>216</v>
      </c>
      <c r="C77" s="505" t="s">
        <v>216</v>
      </c>
      <c r="D77" s="505" t="s">
        <v>231</v>
      </c>
      <c r="E77" s="505" t="s">
        <v>231</v>
      </c>
      <c r="F77" s="505" t="s">
        <v>300</v>
      </c>
      <c r="G77" s="525">
        <v>3</v>
      </c>
      <c r="H77" s="505"/>
      <c r="I77" s="505"/>
      <c r="J77" s="505"/>
      <c r="K77" s="609" t="s">
        <v>304</v>
      </c>
      <c r="L77" s="1110"/>
      <c r="M77" s="1110"/>
      <c r="N77" s="1110"/>
      <c r="O77" s="1110">
        <f>+L77+M77-N77</f>
        <v>0</v>
      </c>
      <c r="P77" s="1110"/>
      <c r="Q77" s="1110"/>
      <c r="R77" s="1110"/>
      <c r="S77" s="1110"/>
      <c r="T77" s="1110"/>
      <c r="U77" s="1110"/>
      <c r="V77" s="1110"/>
      <c r="W77" s="1110"/>
      <c r="X77" s="1110"/>
      <c r="Y77" s="1110"/>
      <c r="Z77" s="1110"/>
      <c r="AA77" s="1069">
        <f t="shared" si="16"/>
        <v>0</v>
      </c>
      <c r="AB77" s="1113" t="e">
        <f t="shared" si="20"/>
        <v>#DIV/0!</v>
      </c>
      <c r="AC77" s="729"/>
    </row>
    <row r="78" spans="1:29" s="1092" customFormat="1" ht="22.5" customHeight="1" thickTop="1" thickBot="1" x14ac:dyDescent="0.3">
      <c r="A78" s="1092">
        <v>1</v>
      </c>
      <c r="B78" s="1092" t="s">
        <v>216</v>
      </c>
      <c r="C78" s="1092" t="s">
        <v>216</v>
      </c>
      <c r="D78" s="1092" t="s">
        <v>231</v>
      </c>
      <c r="E78" s="1092" t="s">
        <v>305</v>
      </c>
      <c r="K78" s="1096" t="s">
        <v>306</v>
      </c>
      <c r="L78" s="1094">
        <f>+L79+L100</f>
        <v>2000000</v>
      </c>
      <c r="M78" s="1092">
        <f t="shared" ref="M78:Z78" si="39">+M79+M100</f>
        <v>0</v>
      </c>
      <c r="N78" s="1092">
        <f t="shared" si="39"/>
        <v>0</v>
      </c>
      <c r="O78" s="1094">
        <f t="shared" si="39"/>
        <v>2000000</v>
      </c>
      <c r="P78" s="1094">
        <f t="shared" si="39"/>
        <v>0</v>
      </c>
      <c r="Q78" s="1094"/>
      <c r="R78" s="1135">
        <f t="shared" si="39"/>
        <v>1800000</v>
      </c>
      <c r="T78" s="1094">
        <f t="shared" si="39"/>
        <v>200000</v>
      </c>
      <c r="U78" s="1094"/>
      <c r="V78" s="1092">
        <f t="shared" si="39"/>
        <v>0</v>
      </c>
      <c r="X78" s="1092">
        <f t="shared" si="39"/>
        <v>0</v>
      </c>
      <c r="Y78" s="1094">
        <f t="shared" si="39"/>
        <v>199893874</v>
      </c>
      <c r="Z78" s="1094">
        <f t="shared" si="39"/>
        <v>8100508</v>
      </c>
      <c r="AA78" s="1069">
        <f t="shared" si="16"/>
        <v>207994382</v>
      </c>
      <c r="AB78" s="1136" t="e">
        <f t="shared" si="20"/>
        <v>#DIV/0!</v>
      </c>
    </row>
    <row r="79" spans="1:29" s="1128" customFormat="1" ht="22.5" customHeight="1" thickTop="1" thickBot="1" x14ac:dyDescent="0.3">
      <c r="A79" s="1121">
        <v>1</v>
      </c>
      <c r="B79" s="1122" t="s">
        <v>216</v>
      </c>
      <c r="C79" s="1122" t="s">
        <v>216</v>
      </c>
      <c r="D79" s="1122" t="s">
        <v>231</v>
      </c>
      <c r="E79" s="1122" t="s">
        <v>305</v>
      </c>
      <c r="F79" s="1122" t="s">
        <v>307</v>
      </c>
      <c r="G79" s="1123"/>
      <c r="H79" s="1122"/>
      <c r="I79" s="1122"/>
      <c r="J79" s="1122"/>
      <c r="K79" s="1124" t="s">
        <v>308</v>
      </c>
      <c r="L79" s="1125">
        <f>+L80+L84+L88+L92+L96</f>
        <v>2000000</v>
      </c>
      <c r="M79" s="1125">
        <f t="shared" ref="M79:Z79" si="40">+M80+M84+M88+M92+M96</f>
        <v>0</v>
      </c>
      <c r="N79" s="1125">
        <f t="shared" si="40"/>
        <v>0</v>
      </c>
      <c r="O79" s="1125">
        <f t="shared" si="40"/>
        <v>2000000</v>
      </c>
      <c r="P79" s="1125">
        <f t="shared" si="40"/>
        <v>0</v>
      </c>
      <c r="Q79" s="1125"/>
      <c r="R79" s="1125">
        <f t="shared" si="40"/>
        <v>1800000</v>
      </c>
      <c r="S79" s="1125"/>
      <c r="T79" s="1125">
        <f t="shared" si="40"/>
        <v>200000</v>
      </c>
      <c r="U79" s="1125"/>
      <c r="V79" s="1125">
        <f t="shared" si="40"/>
        <v>0</v>
      </c>
      <c r="W79" s="1125"/>
      <c r="X79" s="1125">
        <f t="shared" si="40"/>
        <v>0</v>
      </c>
      <c r="Y79" s="1125">
        <f t="shared" si="40"/>
        <v>199893874</v>
      </c>
      <c r="Z79" s="1125">
        <f t="shared" si="40"/>
        <v>8100508</v>
      </c>
      <c r="AA79" s="1069">
        <f t="shared" si="16"/>
        <v>207994382</v>
      </c>
      <c r="AB79" s="1126" t="e">
        <f t="shared" si="20"/>
        <v>#DIV/0!</v>
      </c>
      <c r="AC79" s="1127"/>
    </row>
    <row r="80" spans="1:29" s="1062" customFormat="1" ht="22.5" hidden="1" customHeight="1" thickTop="1" thickBot="1" x14ac:dyDescent="0.3">
      <c r="A80" s="424">
        <v>1</v>
      </c>
      <c r="B80" s="519" t="s">
        <v>216</v>
      </c>
      <c r="C80" s="519" t="s">
        <v>216</v>
      </c>
      <c r="D80" s="519" t="s">
        <v>231</v>
      </c>
      <c r="E80" s="519" t="s">
        <v>305</v>
      </c>
      <c r="F80" s="519" t="s">
        <v>307</v>
      </c>
      <c r="G80" s="519" t="s">
        <v>305</v>
      </c>
      <c r="H80" s="519"/>
      <c r="I80" s="519"/>
      <c r="J80" s="519"/>
      <c r="K80" s="1105" t="s">
        <v>309</v>
      </c>
      <c r="L80" s="1106">
        <f>SUM(L81:L83)</f>
        <v>0</v>
      </c>
      <c r="M80" s="1106">
        <f t="shared" ref="M80:Z80" si="41">SUM(M81:M83)</f>
        <v>0</v>
      </c>
      <c r="N80" s="1106">
        <f t="shared" si="41"/>
        <v>0</v>
      </c>
      <c r="O80" s="1106">
        <f t="shared" si="41"/>
        <v>0</v>
      </c>
      <c r="P80" s="1106">
        <f t="shared" si="41"/>
        <v>0</v>
      </c>
      <c r="Q80" s="1106"/>
      <c r="R80" s="1106">
        <f t="shared" si="41"/>
        <v>0</v>
      </c>
      <c r="S80" s="1106"/>
      <c r="T80" s="1106">
        <f t="shared" si="41"/>
        <v>0</v>
      </c>
      <c r="U80" s="1106"/>
      <c r="V80" s="1106">
        <f t="shared" si="41"/>
        <v>0</v>
      </c>
      <c r="W80" s="1106"/>
      <c r="X80" s="1106">
        <f t="shared" si="41"/>
        <v>0</v>
      </c>
      <c r="Y80" s="1106">
        <f t="shared" si="41"/>
        <v>0</v>
      </c>
      <c r="Z80" s="1106">
        <f t="shared" si="41"/>
        <v>0</v>
      </c>
      <c r="AA80" s="1069">
        <f t="shared" si="16"/>
        <v>0</v>
      </c>
      <c r="AB80" s="1107" t="e">
        <f t="shared" si="20"/>
        <v>#DIV/0!</v>
      </c>
      <c r="AC80" s="522"/>
    </row>
    <row r="81" spans="1:29" ht="22.5" hidden="1" customHeight="1" thickTop="1" thickBot="1" x14ac:dyDescent="0.3">
      <c r="A81" s="425">
        <v>1</v>
      </c>
      <c r="B81" s="505" t="s">
        <v>216</v>
      </c>
      <c r="C81" s="505" t="s">
        <v>216</v>
      </c>
      <c r="D81" s="505" t="s">
        <v>231</v>
      </c>
      <c r="E81" s="505" t="s">
        <v>305</v>
      </c>
      <c r="F81" s="505" t="s">
        <v>307</v>
      </c>
      <c r="G81" s="505" t="s">
        <v>305</v>
      </c>
      <c r="H81" s="505" t="s">
        <v>216</v>
      </c>
      <c r="I81" s="505"/>
      <c r="J81" s="505"/>
      <c r="K81" s="609" t="s">
        <v>310</v>
      </c>
      <c r="L81" s="1110"/>
      <c r="M81" s="1110"/>
      <c r="N81" s="1110"/>
      <c r="O81" s="1110">
        <f>+L81+M81-N81</f>
        <v>0</v>
      </c>
      <c r="P81" s="1110"/>
      <c r="Q81" s="1110"/>
      <c r="R81" s="1110"/>
      <c r="S81" s="1110"/>
      <c r="T81" s="1110"/>
      <c r="U81" s="1110"/>
      <c r="V81" s="1110"/>
      <c r="W81" s="1110"/>
      <c r="X81" s="1110"/>
      <c r="Y81" s="1110"/>
      <c r="Z81" s="1110"/>
      <c r="AA81" s="1069">
        <f t="shared" si="16"/>
        <v>0</v>
      </c>
      <c r="AB81" s="1113" t="e">
        <f t="shared" si="20"/>
        <v>#DIV/0!</v>
      </c>
      <c r="AC81" s="729"/>
    </row>
    <row r="82" spans="1:29" ht="22.5" hidden="1" customHeight="1" thickTop="1" thickBot="1" x14ac:dyDescent="0.3">
      <c r="A82" s="425">
        <v>1</v>
      </c>
      <c r="B82" s="505" t="s">
        <v>216</v>
      </c>
      <c r="C82" s="505" t="s">
        <v>216</v>
      </c>
      <c r="D82" s="505" t="s">
        <v>231</v>
      </c>
      <c r="E82" s="505" t="s">
        <v>305</v>
      </c>
      <c r="F82" s="505" t="s">
        <v>307</v>
      </c>
      <c r="G82" s="505" t="s">
        <v>305</v>
      </c>
      <c r="H82" s="505" t="s">
        <v>227</v>
      </c>
      <c r="I82" s="505"/>
      <c r="J82" s="505"/>
      <c r="K82" s="609" t="s">
        <v>311</v>
      </c>
      <c r="L82" s="1110"/>
      <c r="M82" s="1110"/>
      <c r="N82" s="1110"/>
      <c r="O82" s="1110">
        <f>+L82+M82-N82</f>
        <v>0</v>
      </c>
      <c r="P82" s="1110"/>
      <c r="Q82" s="1110"/>
      <c r="R82" s="1110"/>
      <c r="S82" s="1110"/>
      <c r="T82" s="1110"/>
      <c r="U82" s="1110"/>
      <c r="V82" s="1110"/>
      <c r="W82" s="1110"/>
      <c r="X82" s="1110"/>
      <c r="Y82" s="1110"/>
      <c r="Z82" s="1110"/>
      <c r="AA82" s="1069">
        <f t="shared" si="16"/>
        <v>0</v>
      </c>
      <c r="AB82" s="1113" t="e">
        <f t="shared" si="20"/>
        <v>#DIV/0!</v>
      </c>
      <c r="AC82" s="729"/>
    </row>
    <row r="83" spans="1:29" ht="22.5" hidden="1" customHeight="1" thickTop="1" thickBot="1" x14ac:dyDescent="0.3">
      <c r="A83" s="425">
        <v>1</v>
      </c>
      <c r="B83" s="505" t="s">
        <v>216</v>
      </c>
      <c r="C83" s="505" t="s">
        <v>216</v>
      </c>
      <c r="D83" s="505" t="s">
        <v>231</v>
      </c>
      <c r="E83" s="505" t="s">
        <v>305</v>
      </c>
      <c r="F83" s="505" t="s">
        <v>307</v>
      </c>
      <c r="G83" s="505" t="s">
        <v>305</v>
      </c>
      <c r="H83" s="505" t="s">
        <v>229</v>
      </c>
      <c r="I83" s="505"/>
      <c r="J83" s="505"/>
      <c r="K83" s="609" t="s">
        <v>312</v>
      </c>
      <c r="L83" s="1110"/>
      <c r="M83" s="1110"/>
      <c r="N83" s="1110"/>
      <c r="O83" s="1110">
        <f>+L83+M83-N83</f>
        <v>0</v>
      </c>
      <c r="P83" s="1110"/>
      <c r="Q83" s="1110"/>
      <c r="R83" s="1110"/>
      <c r="S83" s="1110"/>
      <c r="T83" s="1110"/>
      <c r="U83" s="1110"/>
      <c r="V83" s="1110"/>
      <c r="W83" s="1110"/>
      <c r="X83" s="1110"/>
      <c r="Y83" s="1110"/>
      <c r="Z83" s="1110"/>
      <c r="AA83" s="1069">
        <f t="shared" si="16"/>
        <v>0</v>
      </c>
      <c r="AB83" s="1113" t="e">
        <f t="shared" si="20"/>
        <v>#DIV/0!</v>
      </c>
      <c r="AC83" s="729"/>
    </row>
    <row r="84" spans="1:29" s="1062" customFormat="1" ht="22.5" hidden="1" customHeight="1" thickTop="1" thickBot="1" x14ac:dyDescent="0.3">
      <c r="A84" s="424">
        <v>1</v>
      </c>
      <c r="B84" s="519" t="s">
        <v>216</v>
      </c>
      <c r="C84" s="519" t="s">
        <v>216</v>
      </c>
      <c r="D84" s="519" t="s">
        <v>231</v>
      </c>
      <c r="E84" s="519" t="s">
        <v>305</v>
      </c>
      <c r="F84" s="519" t="s">
        <v>307</v>
      </c>
      <c r="G84" s="519" t="s">
        <v>313</v>
      </c>
      <c r="H84" s="519"/>
      <c r="I84" s="519"/>
      <c r="J84" s="519"/>
      <c r="K84" s="1105" t="s">
        <v>314</v>
      </c>
      <c r="L84" s="1106">
        <f>SUM(L85:L87)</f>
        <v>0</v>
      </c>
      <c r="M84" s="1106">
        <f t="shared" ref="M84:Z84" si="42">SUM(M85:M87)</f>
        <v>0</v>
      </c>
      <c r="N84" s="1106">
        <f t="shared" si="42"/>
        <v>0</v>
      </c>
      <c r="O84" s="1106">
        <f t="shared" si="42"/>
        <v>0</v>
      </c>
      <c r="P84" s="1106">
        <f t="shared" si="42"/>
        <v>0</v>
      </c>
      <c r="Q84" s="1106"/>
      <c r="R84" s="1106">
        <f t="shared" si="42"/>
        <v>0</v>
      </c>
      <c r="S84" s="1106"/>
      <c r="T84" s="1106">
        <f t="shared" si="42"/>
        <v>0</v>
      </c>
      <c r="U84" s="1106"/>
      <c r="V84" s="1106">
        <f t="shared" si="42"/>
        <v>0</v>
      </c>
      <c r="W84" s="1106"/>
      <c r="X84" s="1106">
        <f t="shared" si="42"/>
        <v>0</v>
      </c>
      <c r="Y84" s="1106">
        <f t="shared" si="42"/>
        <v>0</v>
      </c>
      <c r="Z84" s="1106">
        <f t="shared" si="42"/>
        <v>0</v>
      </c>
      <c r="AA84" s="1069">
        <f t="shared" si="16"/>
        <v>0</v>
      </c>
      <c r="AB84" s="1107" t="e">
        <f t="shared" si="20"/>
        <v>#DIV/0!</v>
      </c>
      <c r="AC84" s="522"/>
    </row>
    <row r="85" spans="1:29" ht="22.5" hidden="1" customHeight="1" thickTop="1" thickBot="1" x14ac:dyDescent="0.3">
      <c r="A85" s="425">
        <v>1</v>
      </c>
      <c r="B85" s="505" t="s">
        <v>216</v>
      </c>
      <c r="C85" s="505" t="s">
        <v>216</v>
      </c>
      <c r="D85" s="505" t="s">
        <v>231</v>
      </c>
      <c r="E85" s="505" t="s">
        <v>305</v>
      </c>
      <c r="F85" s="505" t="s">
        <v>307</v>
      </c>
      <c r="G85" s="505" t="s">
        <v>313</v>
      </c>
      <c r="H85" s="505" t="s">
        <v>216</v>
      </c>
      <c r="I85" s="505"/>
      <c r="J85" s="505"/>
      <c r="K85" s="609" t="s">
        <v>315</v>
      </c>
      <c r="L85" s="1110"/>
      <c r="M85" s="1110"/>
      <c r="N85" s="1110"/>
      <c r="O85" s="1110">
        <f>+L85+M85-N85</f>
        <v>0</v>
      </c>
      <c r="P85" s="1110"/>
      <c r="Q85" s="1110"/>
      <c r="R85" s="1110"/>
      <c r="S85" s="1110"/>
      <c r="T85" s="1110"/>
      <c r="U85" s="1110"/>
      <c r="V85" s="1110"/>
      <c r="W85" s="1110"/>
      <c r="X85" s="1110"/>
      <c r="Y85" s="1110"/>
      <c r="Z85" s="1110"/>
      <c r="AA85" s="1069">
        <f t="shared" si="16"/>
        <v>0</v>
      </c>
      <c r="AB85" s="1113" t="e">
        <f t="shared" si="20"/>
        <v>#DIV/0!</v>
      </c>
      <c r="AC85" s="729"/>
    </row>
    <row r="86" spans="1:29" ht="22.5" hidden="1" customHeight="1" thickTop="1" thickBot="1" x14ac:dyDescent="0.3">
      <c r="A86" s="425">
        <v>1</v>
      </c>
      <c r="B86" s="505" t="s">
        <v>216</v>
      </c>
      <c r="C86" s="505" t="s">
        <v>216</v>
      </c>
      <c r="D86" s="505" t="s">
        <v>231</v>
      </c>
      <c r="E86" s="505" t="s">
        <v>305</v>
      </c>
      <c r="F86" s="505" t="s">
        <v>307</v>
      </c>
      <c r="G86" s="505" t="s">
        <v>313</v>
      </c>
      <c r="H86" s="505" t="s">
        <v>227</v>
      </c>
      <c r="I86" s="505"/>
      <c r="J86" s="505"/>
      <c r="K86" s="609" t="s">
        <v>316</v>
      </c>
      <c r="L86" s="1110"/>
      <c r="M86" s="1110"/>
      <c r="N86" s="1110"/>
      <c r="O86" s="1110">
        <f>+L86+M86-N86</f>
        <v>0</v>
      </c>
      <c r="P86" s="1110"/>
      <c r="Q86" s="1110"/>
      <c r="R86" s="1110"/>
      <c r="S86" s="1110"/>
      <c r="T86" s="1110"/>
      <c r="U86" s="1110"/>
      <c r="V86" s="1110"/>
      <c r="W86" s="1110"/>
      <c r="X86" s="1110"/>
      <c r="Y86" s="1110"/>
      <c r="Z86" s="1110"/>
      <c r="AA86" s="1069">
        <f t="shared" si="16"/>
        <v>0</v>
      </c>
      <c r="AB86" s="1113" t="e">
        <f t="shared" si="20"/>
        <v>#DIV/0!</v>
      </c>
      <c r="AC86" s="729"/>
    </row>
    <row r="87" spans="1:29" ht="22.5" hidden="1" customHeight="1" thickTop="1" thickBot="1" x14ac:dyDescent="0.3">
      <c r="A87" s="425">
        <v>1</v>
      </c>
      <c r="B87" s="505" t="s">
        <v>216</v>
      </c>
      <c r="C87" s="505" t="s">
        <v>216</v>
      </c>
      <c r="D87" s="505" t="s">
        <v>231</v>
      </c>
      <c r="E87" s="505" t="s">
        <v>305</v>
      </c>
      <c r="F87" s="505" t="s">
        <v>307</v>
      </c>
      <c r="G87" s="505" t="s">
        <v>313</v>
      </c>
      <c r="H87" s="505" t="s">
        <v>229</v>
      </c>
      <c r="I87" s="505"/>
      <c r="J87" s="505"/>
      <c r="K87" s="609" t="s">
        <v>317</v>
      </c>
      <c r="L87" s="1110"/>
      <c r="M87" s="1110"/>
      <c r="N87" s="1110"/>
      <c r="O87" s="1110">
        <f>+L87+M87-N87</f>
        <v>0</v>
      </c>
      <c r="P87" s="1110"/>
      <c r="Q87" s="1110"/>
      <c r="R87" s="1110"/>
      <c r="S87" s="1110"/>
      <c r="T87" s="1110"/>
      <c r="U87" s="1110"/>
      <c r="V87" s="1110"/>
      <c r="W87" s="1110"/>
      <c r="X87" s="1110"/>
      <c r="Y87" s="1110"/>
      <c r="Z87" s="1110"/>
      <c r="AA87" s="1069">
        <f t="shared" si="16"/>
        <v>0</v>
      </c>
      <c r="AB87" s="1113" t="e">
        <f t="shared" si="20"/>
        <v>#DIV/0!</v>
      </c>
      <c r="AC87" s="729"/>
    </row>
    <row r="88" spans="1:29" s="1062" customFormat="1" ht="22.5" hidden="1" customHeight="1" thickTop="1" thickBot="1" x14ac:dyDescent="0.3">
      <c r="A88" s="424">
        <v>1</v>
      </c>
      <c r="B88" s="519" t="s">
        <v>216</v>
      </c>
      <c r="C88" s="519" t="s">
        <v>216</v>
      </c>
      <c r="D88" s="519" t="s">
        <v>231</v>
      </c>
      <c r="E88" s="519" t="s">
        <v>305</v>
      </c>
      <c r="F88" s="519" t="s">
        <v>307</v>
      </c>
      <c r="G88" s="519" t="s">
        <v>243</v>
      </c>
      <c r="H88" s="519"/>
      <c r="I88" s="519"/>
      <c r="J88" s="519"/>
      <c r="K88" s="1105" t="s">
        <v>318</v>
      </c>
      <c r="L88" s="1106">
        <f>SUM(L89:L91)</f>
        <v>0</v>
      </c>
      <c r="M88" s="1106">
        <f t="shared" ref="M88:Z88" si="43">SUM(M89:M91)</f>
        <v>0</v>
      </c>
      <c r="N88" s="1106">
        <f t="shared" si="43"/>
        <v>0</v>
      </c>
      <c r="O88" s="1106">
        <f t="shared" si="43"/>
        <v>0</v>
      </c>
      <c r="P88" s="1106">
        <f t="shared" si="43"/>
        <v>0</v>
      </c>
      <c r="Q88" s="1106"/>
      <c r="R88" s="1106">
        <f t="shared" si="43"/>
        <v>0</v>
      </c>
      <c r="S88" s="1106"/>
      <c r="T88" s="1106">
        <f t="shared" si="43"/>
        <v>0</v>
      </c>
      <c r="U88" s="1106"/>
      <c r="V88" s="1106">
        <f t="shared" si="43"/>
        <v>0</v>
      </c>
      <c r="W88" s="1106"/>
      <c r="X88" s="1106">
        <f t="shared" si="43"/>
        <v>0</v>
      </c>
      <c r="Y88" s="1106">
        <f t="shared" si="43"/>
        <v>0</v>
      </c>
      <c r="Z88" s="1106">
        <f t="shared" si="43"/>
        <v>0</v>
      </c>
      <c r="AA88" s="1069">
        <f t="shared" si="16"/>
        <v>0</v>
      </c>
      <c r="AB88" s="1107" t="e">
        <f t="shared" si="20"/>
        <v>#DIV/0!</v>
      </c>
      <c r="AC88" s="522"/>
    </row>
    <row r="89" spans="1:29" ht="22.5" hidden="1" customHeight="1" thickTop="1" thickBot="1" x14ac:dyDescent="0.3">
      <c r="A89" s="425">
        <v>1</v>
      </c>
      <c r="B89" s="505" t="s">
        <v>216</v>
      </c>
      <c r="C89" s="505" t="s">
        <v>216</v>
      </c>
      <c r="D89" s="505" t="s">
        <v>231</v>
      </c>
      <c r="E89" s="505" t="s">
        <v>305</v>
      </c>
      <c r="F89" s="505" t="s">
        <v>307</v>
      </c>
      <c r="G89" s="505" t="s">
        <v>243</v>
      </c>
      <c r="H89" s="505" t="s">
        <v>216</v>
      </c>
      <c r="I89" s="505"/>
      <c r="J89" s="505"/>
      <c r="K89" s="609" t="s">
        <v>319</v>
      </c>
      <c r="L89" s="1110"/>
      <c r="M89" s="1110"/>
      <c r="N89" s="1110"/>
      <c r="O89" s="1110">
        <f>+L89+M89-N89</f>
        <v>0</v>
      </c>
      <c r="P89" s="1110"/>
      <c r="Q89" s="1110"/>
      <c r="R89" s="1110"/>
      <c r="S89" s="1110"/>
      <c r="T89" s="1110"/>
      <c r="U89" s="1110"/>
      <c r="V89" s="1110"/>
      <c r="W89" s="1110"/>
      <c r="X89" s="1110"/>
      <c r="Y89" s="1110"/>
      <c r="Z89" s="1110"/>
      <c r="AA89" s="1069">
        <f t="shared" si="16"/>
        <v>0</v>
      </c>
      <c r="AB89" s="1113" t="e">
        <f t="shared" si="20"/>
        <v>#DIV/0!</v>
      </c>
      <c r="AC89" s="729"/>
    </row>
    <row r="90" spans="1:29" ht="22.5" hidden="1" customHeight="1" thickTop="1" thickBot="1" x14ac:dyDescent="0.3">
      <c r="A90" s="425">
        <v>1</v>
      </c>
      <c r="B90" s="505" t="s">
        <v>216</v>
      </c>
      <c r="C90" s="505" t="s">
        <v>216</v>
      </c>
      <c r="D90" s="505" t="s">
        <v>231</v>
      </c>
      <c r="E90" s="505" t="s">
        <v>305</v>
      </c>
      <c r="F90" s="505" t="s">
        <v>307</v>
      </c>
      <c r="G90" s="505" t="s">
        <v>243</v>
      </c>
      <c r="H90" s="505" t="s">
        <v>227</v>
      </c>
      <c r="I90" s="505"/>
      <c r="J90" s="505"/>
      <c r="K90" s="609" t="s">
        <v>320</v>
      </c>
      <c r="L90" s="1110"/>
      <c r="M90" s="1110"/>
      <c r="N90" s="1110"/>
      <c r="O90" s="1110">
        <f>+L90+M90-N90</f>
        <v>0</v>
      </c>
      <c r="P90" s="1110"/>
      <c r="Q90" s="1110"/>
      <c r="R90" s="1110"/>
      <c r="S90" s="1110"/>
      <c r="T90" s="1110"/>
      <c r="U90" s="1110"/>
      <c r="V90" s="1110"/>
      <c r="W90" s="1110"/>
      <c r="X90" s="1110"/>
      <c r="Y90" s="1110"/>
      <c r="Z90" s="1110"/>
      <c r="AA90" s="1069">
        <f t="shared" ref="AA90:AA153" si="44">+Y90+Z90</f>
        <v>0</v>
      </c>
      <c r="AB90" s="1113" t="e">
        <f t="shared" si="20"/>
        <v>#DIV/0!</v>
      </c>
      <c r="AC90" s="729"/>
    </row>
    <row r="91" spans="1:29" ht="22.5" hidden="1" customHeight="1" thickTop="1" thickBot="1" x14ac:dyDescent="0.3">
      <c r="A91" s="425">
        <v>1</v>
      </c>
      <c r="B91" s="505" t="s">
        <v>216</v>
      </c>
      <c r="C91" s="505" t="s">
        <v>216</v>
      </c>
      <c r="D91" s="505" t="s">
        <v>231</v>
      </c>
      <c r="E91" s="505" t="s">
        <v>305</v>
      </c>
      <c r="F91" s="505" t="s">
        <v>307</v>
      </c>
      <c r="G91" s="505" t="s">
        <v>243</v>
      </c>
      <c r="H91" s="505" t="s">
        <v>229</v>
      </c>
      <c r="I91" s="505"/>
      <c r="J91" s="505"/>
      <c r="K91" s="609" t="s">
        <v>321</v>
      </c>
      <c r="L91" s="1110"/>
      <c r="M91" s="1110"/>
      <c r="N91" s="1110"/>
      <c r="O91" s="1110">
        <f>+L91+M91-N91</f>
        <v>0</v>
      </c>
      <c r="P91" s="1110"/>
      <c r="Q91" s="1110"/>
      <c r="R91" s="1110"/>
      <c r="S91" s="1110"/>
      <c r="T91" s="1110"/>
      <c r="U91" s="1110"/>
      <c r="V91" s="1110"/>
      <c r="W91" s="1110"/>
      <c r="X91" s="1110"/>
      <c r="Y91" s="1110"/>
      <c r="Z91" s="1110"/>
      <c r="AA91" s="1069">
        <f t="shared" si="44"/>
        <v>0</v>
      </c>
      <c r="AB91" s="1113" t="e">
        <f t="shared" si="20"/>
        <v>#DIV/0!</v>
      </c>
      <c r="AC91" s="729"/>
    </row>
    <row r="92" spans="1:29" s="1062" customFormat="1" ht="22.5" hidden="1" customHeight="1" thickTop="1" thickBot="1" x14ac:dyDescent="0.3">
      <c r="A92" s="424">
        <v>1</v>
      </c>
      <c r="B92" s="519" t="s">
        <v>216</v>
      </c>
      <c r="C92" s="519" t="s">
        <v>216</v>
      </c>
      <c r="D92" s="519" t="s">
        <v>231</v>
      </c>
      <c r="E92" s="519" t="s">
        <v>305</v>
      </c>
      <c r="F92" s="519" t="s">
        <v>307</v>
      </c>
      <c r="G92" s="519" t="s">
        <v>322</v>
      </c>
      <c r="H92" s="519"/>
      <c r="I92" s="519"/>
      <c r="J92" s="519"/>
      <c r="K92" s="1105" t="s">
        <v>323</v>
      </c>
      <c r="L92" s="1106">
        <f>SUM(L93:L95)</f>
        <v>0</v>
      </c>
      <c r="M92" s="1106">
        <f t="shared" ref="M92:Z92" si="45">SUM(M93:M95)</f>
        <v>0</v>
      </c>
      <c r="N92" s="1106">
        <f t="shared" si="45"/>
        <v>0</v>
      </c>
      <c r="O92" s="1106">
        <f t="shared" si="45"/>
        <v>0</v>
      </c>
      <c r="P92" s="1106">
        <f t="shared" si="45"/>
        <v>0</v>
      </c>
      <c r="Q92" s="1106"/>
      <c r="R92" s="1106">
        <f t="shared" si="45"/>
        <v>0</v>
      </c>
      <c r="S92" s="1106"/>
      <c r="T92" s="1106">
        <f t="shared" si="45"/>
        <v>0</v>
      </c>
      <c r="U92" s="1106"/>
      <c r="V92" s="1106">
        <f t="shared" si="45"/>
        <v>0</v>
      </c>
      <c r="W92" s="1106"/>
      <c r="X92" s="1106">
        <f t="shared" si="45"/>
        <v>0</v>
      </c>
      <c r="Y92" s="1106">
        <f t="shared" si="45"/>
        <v>0</v>
      </c>
      <c r="Z92" s="1106">
        <f t="shared" si="45"/>
        <v>0</v>
      </c>
      <c r="AA92" s="1069">
        <f t="shared" si="44"/>
        <v>0</v>
      </c>
      <c r="AB92" s="1107" t="e">
        <f t="shared" si="20"/>
        <v>#DIV/0!</v>
      </c>
      <c r="AC92" s="522"/>
    </row>
    <row r="93" spans="1:29" ht="22.5" hidden="1" customHeight="1" thickTop="1" thickBot="1" x14ac:dyDescent="0.3">
      <c r="A93" s="425">
        <v>1</v>
      </c>
      <c r="B93" s="505" t="s">
        <v>216</v>
      </c>
      <c r="C93" s="505" t="s">
        <v>216</v>
      </c>
      <c r="D93" s="505" t="s">
        <v>231</v>
      </c>
      <c r="E93" s="505" t="s">
        <v>305</v>
      </c>
      <c r="F93" s="505" t="s">
        <v>307</v>
      </c>
      <c r="G93" s="505" t="s">
        <v>322</v>
      </c>
      <c r="H93" s="505" t="s">
        <v>216</v>
      </c>
      <c r="I93" s="505"/>
      <c r="J93" s="505"/>
      <c r="K93" s="609" t="s">
        <v>324</v>
      </c>
      <c r="L93" s="1110"/>
      <c r="M93" s="1110"/>
      <c r="N93" s="1110"/>
      <c r="O93" s="1110">
        <f>+L93+M93-N93</f>
        <v>0</v>
      </c>
      <c r="P93" s="1110"/>
      <c r="Q93" s="1110"/>
      <c r="R93" s="1110"/>
      <c r="S93" s="1110"/>
      <c r="T93" s="1110"/>
      <c r="U93" s="1110"/>
      <c r="V93" s="1110"/>
      <c r="W93" s="1110"/>
      <c r="X93" s="1110"/>
      <c r="Y93" s="1110"/>
      <c r="Z93" s="1110"/>
      <c r="AA93" s="1069">
        <f t="shared" si="44"/>
        <v>0</v>
      </c>
      <c r="AB93" s="1113" t="e">
        <f t="shared" ref="AB93:AB95" si="46">+AA93/X93</f>
        <v>#DIV/0!</v>
      </c>
      <c r="AC93" s="729"/>
    </row>
    <row r="94" spans="1:29" ht="22.5" hidden="1" customHeight="1" thickTop="1" thickBot="1" x14ac:dyDescent="0.3">
      <c r="A94" s="425">
        <v>1</v>
      </c>
      <c r="B94" s="505" t="s">
        <v>216</v>
      </c>
      <c r="C94" s="505" t="s">
        <v>216</v>
      </c>
      <c r="D94" s="505" t="s">
        <v>231</v>
      </c>
      <c r="E94" s="505" t="s">
        <v>305</v>
      </c>
      <c r="F94" s="505" t="s">
        <v>307</v>
      </c>
      <c r="G94" s="505" t="s">
        <v>322</v>
      </c>
      <c r="H94" s="505" t="s">
        <v>227</v>
      </c>
      <c r="I94" s="505"/>
      <c r="J94" s="505"/>
      <c r="K94" s="609" t="s">
        <v>325</v>
      </c>
      <c r="L94" s="1110"/>
      <c r="M94" s="1110"/>
      <c r="N94" s="1110"/>
      <c r="O94" s="1110">
        <f>+L94+M94-N94</f>
        <v>0</v>
      </c>
      <c r="P94" s="1110"/>
      <c r="Q94" s="1110"/>
      <c r="R94" s="1110"/>
      <c r="S94" s="1110"/>
      <c r="T94" s="1110"/>
      <c r="U94" s="1110"/>
      <c r="V94" s="1110"/>
      <c r="W94" s="1110"/>
      <c r="X94" s="1110"/>
      <c r="Y94" s="1110"/>
      <c r="Z94" s="1110"/>
      <c r="AA94" s="1069">
        <f t="shared" si="44"/>
        <v>0</v>
      </c>
      <c r="AB94" s="1113" t="e">
        <f t="shared" si="46"/>
        <v>#DIV/0!</v>
      </c>
      <c r="AC94" s="729"/>
    </row>
    <row r="95" spans="1:29" ht="22.5" hidden="1" customHeight="1" thickTop="1" thickBot="1" x14ac:dyDescent="0.3">
      <c r="A95" s="425">
        <v>1</v>
      </c>
      <c r="B95" s="505" t="s">
        <v>216</v>
      </c>
      <c r="C95" s="505" t="s">
        <v>216</v>
      </c>
      <c r="D95" s="505" t="s">
        <v>231</v>
      </c>
      <c r="E95" s="505" t="s">
        <v>305</v>
      </c>
      <c r="F95" s="505" t="s">
        <v>307</v>
      </c>
      <c r="G95" s="505" t="s">
        <v>322</v>
      </c>
      <c r="H95" s="505" t="s">
        <v>229</v>
      </c>
      <c r="I95" s="505"/>
      <c r="J95" s="505"/>
      <c r="K95" s="609" t="s">
        <v>326</v>
      </c>
      <c r="L95" s="1110"/>
      <c r="M95" s="1110"/>
      <c r="N95" s="1110"/>
      <c r="O95" s="1110">
        <f>+L95+M95-N95</f>
        <v>0</v>
      </c>
      <c r="P95" s="1110"/>
      <c r="Q95" s="1110"/>
      <c r="R95" s="1110"/>
      <c r="S95" s="1110"/>
      <c r="T95" s="1110"/>
      <c r="U95" s="1110"/>
      <c r="V95" s="1110"/>
      <c r="W95" s="1110"/>
      <c r="X95" s="1110"/>
      <c r="Y95" s="1110"/>
      <c r="Z95" s="1110"/>
      <c r="AA95" s="1069">
        <f t="shared" si="44"/>
        <v>0</v>
      </c>
      <c r="AB95" s="1113" t="e">
        <f t="shared" si="46"/>
        <v>#DIV/0!</v>
      </c>
      <c r="AC95" s="729"/>
    </row>
    <row r="96" spans="1:29" s="1062" customFormat="1" ht="22.5" customHeight="1" thickTop="1" thickBot="1" x14ac:dyDescent="0.3">
      <c r="A96" s="424">
        <v>1</v>
      </c>
      <c r="B96" s="519" t="s">
        <v>216</v>
      </c>
      <c r="C96" s="519" t="s">
        <v>216</v>
      </c>
      <c r="D96" s="519" t="s">
        <v>231</v>
      </c>
      <c r="E96" s="519" t="s">
        <v>305</v>
      </c>
      <c r="F96" s="519" t="s">
        <v>307</v>
      </c>
      <c r="G96" s="519" t="s">
        <v>327</v>
      </c>
      <c r="H96" s="519"/>
      <c r="I96" s="519"/>
      <c r="J96" s="519"/>
      <c r="K96" s="1105" t="s">
        <v>328</v>
      </c>
      <c r="L96" s="1106">
        <f>SUM(L97:L99)</f>
        <v>2000000</v>
      </c>
      <c r="M96" s="1106">
        <f t="shared" ref="M96:Z96" si="47">SUM(M97:M99)</f>
        <v>0</v>
      </c>
      <c r="N96" s="1106">
        <f t="shared" si="47"/>
        <v>0</v>
      </c>
      <c r="O96" s="1106">
        <f t="shared" si="47"/>
        <v>2000000</v>
      </c>
      <c r="P96" s="1106">
        <f t="shared" si="47"/>
        <v>0</v>
      </c>
      <c r="Q96" s="1106"/>
      <c r="R96" s="1106">
        <f t="shared" si="47"/>
        <v>1800000</v>
      </c>
      <c r="S96" s="1106"/>
      <c r="T96" s="1106">
        <f t="shared" si="47"/>
        <v>200000</v>
      </c>
      <c r="U96" s="1106"/>
      <c r="V96" s="1106">
        <f t="shared" si="47"/>
        <v>0</v>
      </c>
      <c r="W96" s="1106"/>
      <c r="X96" s="1106">
        <f t="shared" si="47"/>
        <v>0</v>
      </c>
      <c r="Y96" s="1106">
        <f t="shared" si="47"/>
        <v>199893874</v>
      </c>
      <c r="Z96" s="1106">
        <f t="shared" si="47"/>
        <v>8100508</v>
      </c>
      <c r="AA96" s="1069">
        <f t="shared" si="44"/>
        <v>207994382</v>
      </c>
      <c r="AB96" s="1107" t="e">
        <f>+AA131/X96</f>
        <v>#DIV/0!</v>
      </c>
      <c r="AC96" s="522"/>
    </row>
    <row r="97" spans="1:29" ht="22.5" customHeight="1" thickTop="1" thickBot="1" x14ac:dyDescent="0.3">
      <c r="A97" s="425">
        <v>1</v>
      </c>
      <c r="B97" s="505" t="s">
        <v>216</v>
      </c>
      <c r="C97" s="505" t="s">
        <v>216</v>
      </c>
      <c r="D97" s="505" t="s">
        <v>231</v>
      </c>
      <c r="E97" s="505" t="s">
        <v>305</v>
      </c>
      <c r="F97" s="505" t="s">
        <v>307</v>
      </c>
      <c r="G97" s="505" t="s">
        <v>327</v>
      </c>
      <c r="H97" s="505" t="s">
        <v>216</v>
      </c>
      <c r="I97" s="505"/>
      <c r="J97" s="505"/>
      <c r="K97" s="1108" t="s">
        <v>329</v>
      </c>
      <c r="L97" s="1110">
        <f>+'[6]EJECUCION DE INGRESOS A CORTE 3'!D13</f>
        <v>2000000</v>
      </c>
      <c r="M97" s="1110"/>
      <c r="N97" s="1110"/>
      <c r="O97" s="1111">
        <f>+L97+M97-N97</f>
        <v>2000000</v>
      </c>
      <c r="P97" s="1110"/>
      <c r="Q97" s="1110"/>
      <c r="R97" s="1111">
        <f>+O97*S97</f>
        <v>1800000</v>
      </c>
      <c r="S97" s="745">
        <v>0.9</v>
      </c>
      <c r="T97" s="1111">
        <f>+O97*U97</f>
        <v>200000</v>
      </c>
      <c r="U97" s="745">
        <v>0.1</v>
      </c>
      <c r="V97" s="1110"/>
      <c r="W97" s="1110"/>
      <c r="X97" s="1110"/>
      <c r="Y97" s="1111">
        <v>199893874</v>
      </c>
      <c r="Z97" s="1112">
        <v>8100508</v>
      </c>
      <c r="AA97" s="1069">
        <f t="shared" si="44"/>
        <v>207994382</v>
      </c>
      <c r="AB97" s="1113" t="e">
        <f t="shared" ref="AB97:AB130" si="48">+AA97/X97</f>
        <v>#DIV/0!</v>
      </c>
      <c r="AC97" s="729"/>
    </row>
    <row r="98" spans="1:29" ht="22.5" hidden="1" customHeight="1" thickTop="1" thickBot="1" x14ac:dyDescent="0.3">
      <c r="A98" s="425">
        <v>1</v>
      </c>
      <c r="B98" s="505" t="s">
        <v>216</v>
      </c>
      <c r="C98" s="505" t="s">
        <v>216</v>
      </c>
      <c r="D98" s="505" t="s">
        <v>231</v>
      </c>
      <c r="E98" s="505" t="s">
        <v>305</v>
      </c>
      <c r="F98" s="505" t="s">
        <v>307</v>
      </c>
      <c r="G98" s="505" t="s">
        <v>327</v>
      </c>
      <c r="H98" s="505" t="s">
        <v>227</v>
      </c>
      <c r="I98" s="505"/>
      <c r="J98" s="505"/>
      <c r="K98" s="609" t="s">
        <v>330</v>
      </c>
      <c r="L98" s="1110"/>
      <c r="M98" s="1110"/>
      <c r="N98" s="1110"/>
      <c r="O98" s="1110">
        <f>+L98+M98-N98</f>
        <v>0</v>
      </c>
      <c r="P98" s="1110">
        <f>+O98*90%</f>
        <v>0</v>
      </c>
      <c r="Q98" s="1110"/>
      <c r="R98" s="1110"/>
      <c r="S98" s="1110"/>
      <c r="T98" s="1110">
        <f>+O98*10%</f>
        <v>0</v>
      </c>
      <c r="U98" s="1110"/>
      <c r="V98" s="1110"/>
      <c r="W98" s="1110"/>
      <c r="X98" s="1110"/>
      <c r="Y98" s="1110"/>
      <c r="Z98" s="1110"/>
      <c r="AA98" s="1069">
        <f t="shared" si="44"/>
        <v>0</v>
      </c>
      <c r="AB98" s="1113" t="e">
        <f t="shared" si="48"/>
        <v>#DIV/0!</v>
      </c>
      <c r="AC98" s="729"/>
    </row>
    <row r="99" spans="1:29" ht="22.5" hidden="1" customHeight="1" thickTop="1" thickBot="1" x14ac:dyDescent="0.3">
      <c r="A99" s="425">
        <v>1</v>
      </c>
      <c r="B99" s="505" t="s">
        <v>216</v>
      </c>
      <c r="C99" s="505" t="s">
        <v>216</v>
      </c>
      <c r="D99" s="505" t="s">
        <v>231</v>
      </c>
      <c r="E99" s="505" t="s">
        <v>305</v>
      </c>
      <c r="F99" s="505" t="s">
        <v>307</v>
      </c>
      <c r="G99" s="505" t="s">
        <v>327</v>
      </c>
      <c r="H99" s="505" t="s">
        <v>229</v>
      </c>
      <c r="I99" s="505"/>
      <c r="J99" s="505"/>
      <c r="K99" s="609" t="s">
        <v>331</v>
      </c>
      <c r="L99" s="1110"/>
      <c r="M99" s="1110"/>
      <c r="N99" s="1110"/>
      <c r="O99" s="1110">
        <f>+L99+M99-N99</f>
        <v>0</v>
      </c>
      <c r="P99" s="1110"/>
      <c r="Q99" s="1110"/>
      <c r="R99" s="1110"/>
      <c r="S99" s="1110"/>
      <c r="T99" s="1110"/>
      <c r="U99" s="1110"/>
      <c r="V99" s="1110"/>
      <c r="W99" s="1110"/>
      <c r="X99" s="1110"/>
      <c r="Y99" s="1110"/>
      <c r="Z99" s="1110"/>
      <c r="AA99" s="1069">
        <f t="shared" si="44"/>
        <v>0</v>
      </c>
      <c r="AB99" s="1113" t="e">
        <f t="shared" si="48"/>
        <v>#DIV/0!</v>
      </c>
      <c r="AC99" s="729"/>
    </row>
    <row r="100" spans="1:29" s="1128" customFormat="1" ht="21" hidden="1" customHeight="1" thickTop="1" thickBot="1" x14ac:dyDescent="0.3">
      <c r="A100" s="1121">
        <v>1</v>
      </c>
      <c r="B100" s="1122" t="s">
        <v>216</v>
      </c>
      <c r="C100" s="1122" t="s">
        <v>216</v>
      </c>
      <c r="D100" s="1122" t="s">
        <v>231</v>
      </c>
      <c r="E100" s="1122" t="s">
        <v>305</v>
      </c>
      <c r="F100" s="1122" t="s">
        <v>332</v>
      </c>
      <c r="G100" s="1122"/>
      <c r="H100" s="1122"/>
      <c r="I100" s="1122"/>
      <c r="J100" s="1122"/>
      <c r="K100" s="1124" t="s">
        <v>333</v>
      </c>
      <c r="L100" s="1125"/>
      <c r="M100" s="1125"/>
      <c r="N100" s="1125"/>
      <c r="O100" s="1125">
        <f>+L100+M100-N100</f>
        <v>0</v>
      </c>
      <c r="P100" s="1125"/>
      <c r="Q100" s="1125"/>
      <c r="R100" s="1125"/>
      <c r="S100" s="1125"/>
      <c r="T100" s="1125"/>
      <c r="U100" s="1125"/>
      <c r="V100" s="1125"/>
      <c r="W100" s="1125"/>
      <c r="X100" s="1125"/>
      <c r="Y100" s="1125"/>
      <c r="Z100" s="1125"/>
      <c r="AA100" s="1069">
        <f t="shared" si="44"/>
        <v>0</v>
      </c>
      <c r="AB100" s="1126" t="e">
        <f t="shared" si="48"/>
        <v>#DIV/0!</v>
      </c>
      <c r="AC100" s="1127"/>
    </row>
    <row r="101" spans="1:29" s="1092" customFormat="1" ht="22.5" customHeight="1" thickTop="1" thickBot="1" x14ac:dyDescent="0.3">
      <c r="A101" s="1092">
        <v>1</v>
      </c>
      <c r="B101" s="1092" t="s">
        <v>216</v>
      </c>
      <c r="C101" s="1092" t="s">
        <v>216</v>
      </c>
      <c r="D101" s="1092" t="s">
        <v>231</v>
      </c>
      <c r="E101" s="1092" t="s">
        <v>243</v>
      </c>
      <c r="K101" s="1096" t="s">
        <v>334</v>
      </c>
      <c r="L101" s="1094">
        <f>+L102+L147</f>
        <v>172000000</v>
      </c>
      <c r="M101" s="1092">
        <f t="shared" ref="M101:Z101" si="49">+M102+M147</f>
        <v>0</v>
      </c>
      <c r="N101" s="1092">
        <f t="shared" si="49"/>
        <v>0</v>
      </c>
      <c r="O101" s="1094">
        <f t="shared" si="49"/>
        <v>172000000</v>
      </c>
      <c r="P101" s="1092">
        <f t="shared" si="49"/>
        <v>0</v>
      </c>
      <c r="R101" s="1092">
        <f t="shared" si="49"/>
        <v>154800000</v>
      </c>
      <c r="T101" s="1092">
        <f t="shared" si="49"/>
        <v>17200000</v>
      </c>
      <c r="V101" s="1092">
        <f t="shared" si="49"/>
        <v>0</v>
      </c>
      <c r="X101" s="1092">
        <f t="shared" si="49"/>
        <v>0</v>
      </c>
      <c r="Y101" s="1137">
        <f t="shared" si="49"/>
        <v>44062455</v>
      </c>
      <c r="Z101" s="1137">
        <f t="shared" si="49"/>
        <v>142302401</v>
      </c>
      <c r="AA101" s="1069">
        <f t="shared" si="44"/>
        <v>186364856</v>
      </c>
      <c r="AB101" s="1136" t="e">
        <f t="shared" si="48"/>
        <v>#DIV/0!</v>
      </c>
    </row>
    <row r="102" spans="1:29" s="1128" customFormat="1" ht="22.5" customHeight="1" thickTop="1" thickBot="1" x14ac:dyDescent="0.3">
      <c r="A102" s="1121">
        <v>1</v>
      </c>
      <c r="B102" s="1122" t="s">
        <v>216</v>
      </c>
      <c r="C102" s="1122" t="s">
        <v>216</v>
      </c>
      <c r="D102" s="1122" t="s">
        <v>231</v>
      </c>
      <c r="E102" s="1122" t="s">
        <v>243</v>
      </c>
      <c r="F102" s="1122" t="s">
        <v>307</v>
      </c>
      <c r="G102" s="1122"/>
      <c r="H102" s="1122"/>
      <c r="I102" s="1122"/>
      <c r="J102" s="1122"/>
      <c r="K102" s="1124" t="s">
        <v>335</v>
      </c>
      <c r="L102" s="1125">
        <f>+L103+L107+L111+L115+L119+L123+L127+L131+L135+L139+L143</f>
        <v>172000000</v>
      </c>
      <c r="M102" s="1125">
        <f t="shared" ref="M102:Y102" si="50">+M103+M107+M111+M115+M119+M123+M127+M131+M135+M139+M143</f>
        <v>0</v>
      </c>
      <c r="N102" s="1125">
        <f t="shared" si="50"/>
        <v>0</v>
      </c>
      <c r="O102" s="1125">
        <f t="shared" si="50"/>
        <v>172000000</v>
      </c>
      <c r="P102" s="1125">
        <f t="shared" si="50"/>
        <v>0</v>
      </c>
      <c r="Q102" s="1125"/>
      <c r="R102" s="1125">
        <f t="shared" si="50"/>
        <v>154800000</v>
      </c>
      <c r="S102" s="1125"/>
      <c r="T102" s="1125">
        <f t="shared" si="50"/>
        <v>17200000</v>
      </c>
      <c r="U102" s="1125"/>
      <c r="V102" s="1125">
        <f t="shared" si="50"/>
        <v>0</v>
      </c>
      <c r="W102" s="1125"/>
      <c r="X102" s="1125">
        <f t="shared" si="50"/>
        <v>0</v>
      </c>
      <c r="Y102" s="1125">
        <f t="shared" si="50"/>
        <v>44062455</v>
      </c>
      <c r="Z102" s="1125">
        <v>142302401</v>
      </c>
      <c r="AA102" s="1069">
        <f t="shared" si="44"/>
        <v>186364856</v>
      </c>
      <c r="AB102" s="1126" t="e">
        <f t="shared" si="48"/>
        <v>#DIV/0!</v>
      </c>
      <c r="AC102" s="1127"/>
    </row>
    <row r="103" spans="1:29" s="1062" customFormat="1" ht="22.5" hidden="1" customHeight="1" thickTop="1" thickBot="1" x14ac:dyDescent="0.3">
      <c r="A103" s="424">
        <v>1</v>
      </c>
      <c r="B103" s="519" t="s">
        <v>216</v>
      </c>
      <c r="C103" s="519" t="s">
        <v>216</v>
      </c>
      <c r="D103" s="519" t="s">
        <v>231</v>
      </c>
      <c r="E103" s="519" t="s">
        <v>243</v>
      </c>
      <c r="F103" s="519" t="s">
        <v>307</v>
      </c>
      <c r="G103" s="519" t="s">
        <v>336</v>
      </c>
      <c r="H103" s="519"/>
      <c r="I103" s="519"/>
      <c r="J103" s="519"/>
      <c r="K103" s="1105" t="s">
        <v>337</v>
      </c>
      <c r="L103" s="1106">
        <f>SUM(L104:L106)</f>
        <v>0</v>
      </c>
      <c r="M103" s="1106">
        <f t="shared" ref="M103:Z103" si="51">SUM(M104:M106)</f>
        <v>0</v>
      </c>
      <c r="N103" s="1106">
        <f t="shared" si="51"/>
        <v>0</v>
      </c>
      <c r="O103" s="1106">
        <f t="shared" si="51"/>
        <v>0</v>
      </c>
      <c r="P103" s="1106">
        <f t="shared" si="51"/>
        <v>0</v>
      </c>
      <c r="Q103" s="1106"/>
      <c r="R103" s="1106">
        <f t="shared" si="51"/>
        <v>0</v>
      </c>
      <c r="S103" s="1106"/>
      <c r="T103" s="1106">
        <f t="shared" si="51"/>
        <v>0</v>
      </c>
      <c r="U103" s="1106"/>
      <c r="V103" s="1106">
        <f t="shared" si="51"/>
        <v>0</v>
      </c>
      <c r="W103" s="1106"/>
      <c r="X103" s="1106">
        <f t="shared" si="51"/>
        <v>0</v>
      </c>
      <c r="Y103" s="1106">
        <f t="shared" si="51"/>
        <v>0</v>
      </c>
      <c r="Z103" s="1106">
        <f t="shared" si="51"/>
        <v>0</v>
      </c>
      <c r="AA103" s="1069">
        <f t="shared" si="44"/>
        <v>0</v>
      </c>
      <c r="AB103" s="1107" t="e">
        <f t="shared" si="48"/>
        <v>#DIV/0!</v>
      </c>
      <c r="AC103" s="522"/>
    </row>
    <row r="104" spans="1:29" ht="22.5" hidden="1" customHeight="1" thickTop="1" thickBot="1" x14ac:dyDescent="0.3">
      <c r="A104" s="425">
        <v>1</v>
      </c>
      <c r="B104" s="505" t="s">
        <v>216</v>
      </c>
      <c r="C104" s="505" t="s">
        <v>216</v>
      </c>
      <c r="D104" s="505" t="s">
        <v>231</v>
      </c>
      <c r="E104" s="505" t="s">
        <v>243</v>
      </c>
      <c r="F104" s="505" t="s">
        <v>307</v>
      </c>
      <c r="G104" s="505" t="s">
        <v>336</v>
      </c>
      <c r="H104" s="505" t="s">
        <v>216</v>
      </c>
      <c r="I104" s="505"/>
      <c r="J104" s="505"/>
      <c r="K104" s="609" t="s">
        <v>338</v>
      </c>
      <c r="L104" s="1110"/>
      <c r="M104" s="1110"/>
      <c r="N104" s="1110"/>
      <c r="O104" s="1110">
        <f>+L104+M104-N104</f>
        <v>0</v>
      </c>
      <c r="P104" s="1110"/>
      <c r="Q104" s="1110"/>
      <c r="R104" s="1110"/>
      <c r="S104" s="1110"/>
      <c r="T104" s="1110"/>
      <c r="U104" s="1110"/>
      <c r="V104" s="1110"/>
      <c r="W104" s="1110"/>
      <c r="X104" s="1110"/>
      <c r="Y104" s="1110"/>
      <c r="Z104" s="1110"/>
      <c r="AA104" s="1069">
        <f t="shared" si="44"/>
        <v>0</v>
      </c>
      <c r="AB104" s="1113" t="e">
        <f t="shared" si="48"/>
        <v>#DIV/0!</v>
      </c>
      <c r="AC104" s="729"/>
    </row>
    <row r="105" spans="1:29" ht="22.5" hidden="1" customHeight="1" thickTop="1" thickBot="1" x14ac:dyDescent="0.3">
      <c r="A105" s="425">
        <v>1</v>
      </c>
      <c r="B105" s="505" t="s">
        <v>216</v>
      </c>
      <c r="C105" s="505" t="s">
        <v>216</v>
      </c>
      <c r="D105" s="505" t="s">
        <v>231</v>
      </c>
      <c r="E105" s="505" t="s">
        <v>243</v>
      </c>
      <c r="F105" s="505" t="s">
        <v>307</v>
      </c>
      <c r="G105" s="505" t="s">
        <v>336</v>
      </c>
      <c r="H105" s="505" t="s">
        <v>227</v>
      </c>
      <c r="I105" s="505"/>
      <c r="J105" s="505"/>
      <c r="K105" s="609" t="s">
        <v>339</v>
      </c>
      <c r="L105" s="1110"/>
      <c r="M105" s="1110"/>
      <c r="N105" s="1110"/>
      <c r="O105" s="1110">
        <f>+L105+M105-N105</f>
        <v>0</v>
      </c>
      <c r="P105" s="1110"/>
      <c r="Q105" s="1110"/>
      <c r="R105" s="1110"/>
      <c r="S105" s="1110"/>
      <c r="T105" s="1110"/>
      <c r="U105" s="1110"/>
      <c r="V105" s="1110"/>
      <c r="W105" s="1110"/>
      <c r="X105" s="1110"/>
      <c r="Y105" s="1110"/>
      <c r="Z105" s="1110"/>
      <c r="AA105" s="1069">
        <f t="shared" si="44"/>
        <v>0</v>
      </c>
      <c r="AB105" s="1113" t="e">
        <f t="shared" si="48"/>
        <v>#DIV/0!</v>
      </c>
      <c r="AC105" s="729"/>
    </row>
    <row r="106" spans="1:29" ht="22.5" hidden="1" customHeight="1" thickTop="1" thickBot="1" x14ac:dyDescent="0.3">
      <c r="A106" s="425">
        <v>1</v>
      </c>
      <c r="B106" s="505" t="s">
        <v>216</v>
      </c>
      <c r="C106" s="505" t="s">
        <v>216</v>
      </c>
      <c r="D106" s="505" t="s">
        <v>231</v>
      </c>
      <c r="E106" s="505" t="s">
        <v>243</v>
      </c>
      <c r="F106" s="505" t="s">
        <v>307</v>
      </c>
      <c r="G106" s="505" t="s">
        <v>336</v>
      </c>
      <c r="H106" s="505" t="s">
        <v>229</v>
      </c>
      <c r="I106" s="505"/>
      <c r="J106" s="505"/>
      <c r="K106" s="609" t="s">
        <v>340</v>
      </c>
      <c r="L106" s="1110"/>
      <c r="M106" s="1110"/>
      <c r="N106" s="1110"/>
      <c r="O106" s="1110">
        <f>+L106+M106-N106</f>
        <v>0</v>
      </c>
      <c r="P106" s="1110"/>
      <c r="Q106" s="1110"/>
      <c r="R106" s="1110"/>
      <c r="S106" s="1110"/>
      <c r="T106" s="1110"/>
      <c r="U106" s="1110"/>
      <c r="V106" s="1110"/>
      <c r="W106" s="1110"/>
      <c r="X106" s="1110"/>
      <c r="Y106" s="1110"/>
      <c r="Z106" s="1110"/>
      <c r="AA106" s="1069">
        <f t="shared" si="44"/>
        <v>0</v>
      </c>
      <c r="AB106" s="1113" t="e">
        <f t="shared" si="48"/>
        <v>#DIV/0!</v>
      </c>
      <c r="AC106" s="729"/>
    </row>
    <row r="107" spans="1:29" s="1062" customFormat="1" ht="22.5" hidden="1" customHeight="1" thickTop="1" thickBot="1" x14ac:dyDescent="0.3">
      <c r="A107" s="424">
        <v>1</v>
      </c>
      <c r="B107" s="519" t="s">
        <v>216</v>
      </c>
      <c r="C107" s="519" t="s">
        <v>216</v>
      </c>
      <c r="D107" s="519" t="s">
        <v>231</v>
      </c>
      <c r="E107" s="519" t="s">
        <v>243</v>
      </c>
      <c r="F107" s="519" t="s">
        <v>307</v>
      </c>
      <c r="G107" s="519" t="s">
        <v>220</v>
      </c>
      <c r="H107" s="519"/>
      <c r="I107" s="519"/>
      <c r="J107" s="519"/>
      <c r="K107" s="1105" t="s">
        <v>341</v>
      </c>
      <c r="L107" s="1106">
        <f>SUM(L108:L110)</f>
        <v>0</v>
      </c>
      <c r="M107" s="1106">
        <f t="shared" ref="M107:Z107" si="52">SUM(M108:M110)</f>
        <v>0</v>
      </c>
      <c r="N107" s="1106">
        <f t="shared" si="52"/>
        <v>0</v>
      </c>
      <c r="O107" s="1106">
        <f t="shared" si="52"/>
        <v>0</v>
      </c>
      <c r="P107" s="1106">
        <f t="shared" si="52"/>
        <v>0</v>
      </c>
      <c r="Q107" s="1106"/>
      <c r="R107" s="1106">
        <f t="shared" si="52"/>
        <v>0</v>
      </c>
      <c r="S107" s="1106"/>
      <c r="T107" s="1106">
        <f t="shared" si="52"/>
        <v>0</v>
      </c>
      <c r="U107" s="1106"/>
      <c r="V107" s="1106">
        <f t="shared" si="52"/>
        <v>0</v>
      </c>
      <c r="W107" s="1106"/>
      <c r="X107" s="1106">
        <f t="shared" si="52"/>
        <v>0</v>
      </c>
      <c r="Y107" s="1106">
        <f t="shared" si="52"/>
        <v>0</v>
      </c>
      <c r="Z107" s="1106">
        <f t="shared" si="52"/>
        <v>0</v>
      </c>
      <c r="AA107" s="1069">
        <f t="shared" si="44"/>
        <v>0</v>
      </c>
      <c r="AB107" s="1107" t="e">
        <f t="shared" si="48"/>
        <v>#DIV/0!</v>
      </c>
      <c r="AC107" s="522"/>
    </row>
    <row r="108" spans="1:29" ht="22.5" hidden="1" customHeight="1" thickTop="1" thickBot="1" x14ac:dyDescent="0.3">
      <c r="A108" s="425">
        <v>1</v>
      </c>
      <c r="B108" s="505" t="s">
        <v>216</v>
      </c>
      <c r="C108" s="505" t="s">
        <v>216</v>
      </c>
      <c r="D108" s="505" t="s">
        <v>231</v>
      </c>
      <c r="E108" s="505" t="s">
        <v>243</v>
      </c>
      <c r="F108" s="505" t="s">
        <v>307</v>
      </c>
      <c r="G108" s="505" t="s">
        <v>220</v>
      </c>
      <c r="H108" s="505" t="s">
        <v>216</v>
      </c>
      <c r="I108" s="505"/>
      <c r="J108" s="505"/>
      <c r="K108" s="609" t="s">
        <v>342</v>
      </c>
      <c r="L108" s="1110"/>
      <c r="M108" s="1110"/>
      <c r="N108" s="1110"/>
      <c r="O108" s="1110">
        <f>+L108+M108-N108</f>
        <v>0</v>
      </c>
      <c r="P108" s="1110"/>
      <c r="Q108" s="1110"/>
      <c r="R108" s="1110"/>
      <c r="S108" s="1110"/>
      <c r="T108" s="1110"/>
      <c r="U108" s="1110"/>
      <c r="V108" s="1110"/>
      <c r="W108" s="1110"/>
      <c r="X108" s="1110"/>
      <c r="Y108" s="1110"/>
      <c r="Z108" s="1110"/>
      <c r="AA108" s="1069">
        <f t="shared" si="44"/>
        <v>0</v>
      </c>
      <c r="AB108" s="1113" t="e">
        <f t="shared" si="48"/>
        <v>#DIV/0!</v>
      </c>
      <c r="AC108" s="729"/>
    </row>
    <row r="109" spans="1:29" ht="22.5" hidden="1" customHeight="1" thickTop="1" thickBot="1" x14ac:dyDescent="0.3">
      <c r="A109" s="425">
        <v>1</v>
      </c>
      <c r="B109" s="505" t="s">
        <v>216</v>
      </c>
      <c r="C109" s="505" t="s">
        <v>216</v>
      </c>
      <c r="D109" s="505" t="s">
        <v>231</v>
      </c>
      <c r="E109" s="505" t="s">
        <v>243</v>
      </c>
      <c r="F109" s="505" t="s">
        <v>307</v>
      </c>
      <c r="G109" s="505" t="s">
        <v>220</v>
      </c>
      <c r="H109" s="505" t="s">
        <v>227</v>
      </c>
      <c r="I109" s="505"/>
      <c r="J109" s="505"/>
      <c r="K109" s="609" t="s">
        <v>343</v>
      </c>
      <c r="L109" s="1110"/>
      <c r="M109" s="1110"/>
      <c r="N109" s="1110"/>
      <c r="O109" s="1110">
        <f>+L109+M109-N109</f>
        <v>0</v>
      </c>
      <c r="P109" s="1110"/>
      <c r="Q109" s="1110"/>
      <c r="R109" s="1110"/>
      <c r="S109" s="1110"/>
      <c r="T109" s="1110"/>
      <c r="U109" s="1110"/>
      <c r="V109" s="1110"/>
      <c r="W109" s="1110"/>
      <c r="X109" s="1110"/>
      <c r="Y109" s="1110"/>
      <c r="Z109" s="1110"/>
      <c r="AA109" s="1069">
        <f t="shared" si="44"/>
        <v>0</v>
      </c>
      <c r="AB109" s="1113" t="e">
        <f t="shared" si="48"/>
        <v>#DIV/0!</v>
      </c>
      <c r="AC109" s="729"/>
    </row>
    <row r="110" spans="1:29" ht="22.5" hidden="1" customHeight="1" thickTop="1" thickBot="1" x14ac:dyDescent="0.3">
      <c r="A110" s="425">
        <v>1</v>
      </c>
      <c r="B110" s="505" t="s">
        <v>216</v>
      </c>
      <c r="C110" s="505" t="s">
        <v>216</v>
      </c>
      <c r="D110" s="505" t="s">
        <v>231</v>
      </c>
      <c r="E110" s="505" t="s">
        <v>243</v>
      </c>
      <c r="F110" s="505" t="s">
        <v>307</v>
      </c>
      <c r="G110" s="505" t="s">
        <v>220</v>
      </c>
      <c r="H110" s="505" t="s">
        <v>229</v>
      </c>
      <c r="I110" s="505"/>
      <c r="J110" s="505"/>
      <c r="K110" s="609" t="s">
        <v>344</v>
      </c>
      <c r="L110" s="1110"/>
      <c r="M110" s="1110"/>
      <c r="N110" s="1110"/>
      <c r="O110" s="1110">
        <f>+L110+M110-N110</f>
        <v>0</v>
      </c>
      <c r="P110" s="1110"/>
      <c r="Q110" s="1110"/>
      <c r="R110" s="1110"/>
      <c r="S110" s="1110"/>
      <c r="T110" s="1110"/>
      <c r="U110" s="1110"/>
      <c r="V110" s="1110"/>
      <c r="W110" s="1110"/>
      <c r="X110" s="1110"/>
      <c r="Y110" s="1110"/>
      <c r="Z110" s="1110"/>
      <c r="AA110" s="1069">
        <f t="shared" si="44"/>
        <v>0</v>
      </c>
      <c r="AB110" s="1113" t="e">
        <f t="shared" si="48"/>
        <v>#DIV/0!</v>
      </c>
      <c r="AC110" s="729"/>
    </row>
    <row r="111" spans="1:29" s="1062" customFormat="1" ht="22.5" hidden="1" customHeight="1" thickTop="1" thickBot="1" x14ac:dyDescent="0.3">
      <c r="A111" s="424">
        <v>1</v>
      </c>
      <c r="B111" s="519" t="s">
        <v>216</v>
      </c>
      <c r="C111" s="519" t="s">
        <v>216</v>
      </c>
      <c r="D111" s="519" t="s">
        <v>231</v>
      </c>
      <c r="E111" s="519" t="s">
        <v>243</v>
      </c>
      <c r="F111" s="519" t="s">
        <v>307</v>
      </c>
      <c r="G111" s="519" t="s">
        <v>231</v>
      </c>
      <c r="H111" s="519"/>
      <c r="I111" s="519"/>
      <c r="J111" s="519"/>
      <c r="K111" s="1105" t="s">
        <v>345</v>
      </c>
      <c r="L111" s="1106">
        <f>SUM(L112:L114)</f>
        <v>0</v>
      </c>
      <c r="M111" s="1106">
        <f t="shared" ref="M111:Z111" si="53">SUM(M112:M114)</f>
        <v>0</v>
      </c>
      <c r="N111" s="1106">
        <f t="shared" si="53"/>
        <v>0</v>
      </c>
      <c r="O111" s="1106">
        <f t="shared" si="53"/>
        <v>0</v>
      </c>
      <c r="P111" s="1106">
        <f t="shared" si="53"/>
        <v>0</v>
      </c>
      <c r="Q111" s="1106"/>
      <c r="R111" s="1106">
        <f t="shared" si="53"/>
        <v>0</v>
      </c>
      <c r="S111" s="1106"/>
      <c r="T111" s="1106">
        <f t="shared" si="53"/>
        <v>0</v>
      </c>
      <c r="U111" s="1106"/>
      <c r="V111" s="1106">
        <f t="shared" si="53"/>
        <v>0</v>
      </c>
      <c r="W111" s="1106"/>
      <c r="X111" s="1106">
        <f t="shared" si="53"/>
        <v>0</v>
      </c>
      <c r="Y111" s="1106">
        <f t="shared" si="53"/>
        <v>0</v>
      </c>
      <c r="Z111" s="1106">
        <f t="shared" si="53"/>
        <v>0</v>
      </c>
      <c r="AA111" s="1069">
        <f t="shared" si="44"/>
        <v>0</v>
      </c>
      <c r="AB111" s="1107" t="e">
        <f t="shared" si="48"/>
        <v>#DIV/0!</v>
      </c>
      <c r="AC111" s="522"/>
    </row>
    <row r="112" spans="1:29" ht="22.5" hidden="1" customHeight="1" thickTop="1" thickBot="1" x14ac:dyDescent="0.3">
      <c r="A112" s="425">
        <v>1</v>
      </c>
      <c r="B112" s="505" t="s">
        <v>216</v>
      </c>
      <c r="C112" s="505" t="s">
        <v>216</v>
      </c>
      <c r="D112" s="505" t="s">
        <v>231</v>
      </c>
      <c r="E112" s="505" t="s">
        <v>243</v>
      </c>
      <c r="F112" s="505" t="s">
        <v>307</v>
      </c>
      <c r="G112" s="505" t="s">
        <v>231</v>
      </c>
      <c r="H112" s="505" t="s">
        <v>216</v>
      </c>
      <c r="I112" s="505"/>
      <c r="J112" s="505"/>
      <c r="K112" s="609" t="s">
        <v>346</v>
      </c>
      <c r="L112" s="1110"/>
      <c r="M112" s="1110"/>
      <c r="N112" s="1110"/>
      <c r="O112" s="1110">
        <f>+L112+M112-N112</f>
        <v>0</v>
      </c>
      <c r="P112" s="1110"/>
      <c r="Q112" s="1110"/>
      <c r="R112" s="1110"/>
      <c r="S112" s="1110"/>
      <c r="T112" s="1110"/>
      <c r="U112" s="1110"/>
      <c r="V112" s="1110"/>
      <c r="W112" s="1110"/>
      <c r="X112" s="1110"/>
      <c r="Y112" s="1110"/>
      <c r="Z112" s="1110"/>
      <c r="AA112" s="1069">
        <f t="shared" si="44"/>
        <v>0</v>
      </c>
      <c r="AB112" s="1113" t="e">
        <f t="shared" si="48"/>
        <v>#DIV/0!</v>
      </c>
      <c r="AC112" s="729"/>
    </row>
    <row r="113" spans="1:29" ht="22.5" hidden="1" customHeight="1" thickTop="1" thickBot="1" x14ac:dyDescent="0.3">
      <c r="A113" s="425">
        <v>1</v>
      </c>
      <c r="B113" s="505" t="s">
        <v>216</v>
      </c>
      <c r="C113" s="505" t="s">
        <v>216</v>
      </c>
      <c r="D113" s="505" t="s">
        <v>231</v>
      </c>
      <c r="E113" s="505" t="s">
        <v>243</v>
      </c>
      <c r="F113" s="505" t="s">
        <v>307</v>
      </c>
      <c r="G113" s="505" t="s">
        <v>231</v>
      </c>
      <c r="H113" s="505" t="s">
        <v>227</v>
      </c>
      <c r="I113" s="505"/>
      <c r="J113" s="505"/>
      <c r="K113" s="609" t="s">
        <v>347</v>
      </c>
      <c r="L113" s="1110"/>
      <c r="M113" s="1110"/>
      <c r="N113" s="1110"/>
      <c r="O113" s="1110">
        <f>+L113+M113-N113</f>
        <v>0</v>
      </c>
      <c r="P113" s="1110"/>
      <c r="Q113" s="1110"/>
      <c r="R113" s="1110"/>
      <c r="S113" s="1110"/>
      <c r="T113" s="1110"/>
      <c r="U113" s="1110"/>
      <c r="V113" s="1110"/>
      <c r="W113" s="1110"/>
      <c r="X113" s="1110"/>
      <c r="Y113" s="1110"/>
      <c r="Z113" s="1110"/>
      <c r="AA113" s="1069">
        <f t="shared" si="44"/>
        <v>0</v>
      </c>
      <c r="AB113" s="1113" t="e">
        <f t="shared" si="48"/>
        <v>#DIV/0!</v>
      </c>
      <c r="AC113" s="729"/>
    </row>
    <row r="114" spans="1:29" ht="22.5" hidden="1" customHeight="1" thickTop="1" thickBot="1" x14ac:dyDescent="0.3">
      <c r="A114" s="425">
        <v>1</v>
      </c>
      <c r="B114" s="505" t="s">
        <v>216</v>
      </c>
      <c r="C114" s="505" t="s">
        <v>216</v>
      </c>
      <c r="D114" s="505" t="s">
        <v>231</v>
      </c>
      <c r="E114" s="505" t="s">
        <v>243</v>
      </c>
      <c r="F114" s="505" t="s">
        <v>307</v>
      </c>
      <c r="G114" s="505" t="s">
        <v>231</v>
      </c>
      <c r="H114" s="505" t="s">
        <v>229</v>
      </c>
      <c r="I114" s="505"/>
      <c r="J114" s="505"/>
      <c r="K114" s="609" t="s">
        <v>348</v>
      </c>
      <c r="L114" s="1110"/>
      <c r="M114" s="1110"/>
      <c r="N114" s="1110"/>
      <c r="O114" s="1110">
        <f>+L114+M114-N114</f>
        <v>0</v>
      </c>
      <c r="P114" s="1110"/>
      <c r="Q114" s="1110"/>
      <c r="R114" s="1110"/>
      <c r="S114" s="1110"/>
      <c r="T114" s="1110"/>
      <c r="U114" s="1110"/>
      <c r="V114" s="1110"/>
      <c r="W114" s="1110"/>
      <c r="X114" s="1110"/>
      <c r="Y114" s="1110"/>
      <c r="Z114" s="1110"/>
      <c r="AA114" s="1069">
        <f t="shared" si="44"/>
        <v>0</v>
      </c>
      <c r="AB114" s="1113" t="e">
        <f t="shared" si="48"/>
        <v>#DIV/0!</v>
      </c>
      <c r="AC114" s="729"/>
    </row>
    <row r="115" spans="1:29" s="1062" customFormat="1" ht="49.5" hidden="1" customHeight="1" thickTop="1" thickBot="1" x14ac:dyDescent="0.3">
      <c r="A115" s="424">
        <v>1</v>
      </c>
      <c r="B115" s="519" t="s">
        <v>216</v>
      </c>
      <c r="C115" s="519" t="s">
        <v>216</v>
      </c>
      <c r="D115" s="519" t="s">
        <v>231</v>
      </c>
      <c r="E115" s="519" t="s">
        <v>243</v>
      </c>
      <c r="F115" s="519" t="s">
        <v>307</v>
      </c>
      <c r="G115" s="519" t="s">
        <v>305</v>
      </c>
      <c r="H115" s="519"/>
      <c r="I115" s="519"/>
      <c r="J115" s="519"/>
      <c r="K115" s="1105" t="s">
        <v>349</v>
      </c>
      <c r="L115" s="1106">
        <f>SUM(L116:L118)</f>
        <v>0</v>
      </c>
      <c r="M115" s="1106">
        <f t="shared" ref="M115:Z115" si="54">SUM(M116:M118)</f>
        <v>0</v>
      </c>
      <c r="N115" s="1106">
        <f t="shared" si="54"/>
        <v>0</v>
      </c>
      <c r="O115" s="1106">
        <f>SUM(O116:O118)</f>
        <v>0</v>
      </c>
      <c r="P115" s="1106">
        <f t="shared" si="54"/>
        <v>0</v>
      </c>
      <c r="Q115" s="1106"/>
      <c r="R115" s="1106">
        <f t="shared" si="54"/>
        <v>0</v>
      </c>
      <c r="S115" s="1106"/>
      <c r="T115" s="1106">
        <f t="shared" si="54"/>
        <v>0</v>
      </c>
      <c r="U115" s="1106"/>
      <c r="V115" s="1106">
        <f t="shared" si="54"/>
        <v>0</v>
      </c>
      <c r="W115" s="1106"/>
      <c r="X115" s="1106">
        <f t="shared" si="54"/>
        <v>0</v>
      </c>
      <c r="Y115" s="1106">
        <f t="shared" si="54"/>
        <v>0</v>
      </c>
      <c r="Z115" s="1106">
        <f t="shared" si="54"/>
        <v>0</v>
      </c>
      <c r="AA115" s="1069">
        <f t="shared" si="44"/>
        <v>0</v>
      </c>
      <c r="AB115" s="1107" t="e">
        <f t="shared" si="48"/>
        <v>#DIV/0!</v>
      </c>
      <c r="AC115" s="522"/>
    </row>
    <row r="116" spans="1:29" ht="45.75" hidden="1" customHeight="1" thickTop="1" thickBot="1" x14ac:dyDescent="0.3">
      <c r="A116" s="425">
        <v>1</v>
      </c>
      <c r="B116" s="505" t="s">
        <v>216</v>
      </c>
      <c r="C116" s="505" t="s">
        <v>216</v>
      </c>
      <c r="D116" s="505" t="s">
        <v>231</v>
      </c>
      <c r="E116" s="505" t="s">
        <v>243</v>
      </c>
      <c r="F116" s="505" t="s">
        <v>307</v>
      </c>
      <c r="G116" s="505" t="s">
        <v>305</v>
      </c>
      <c r="H116" s="505" t="s">
        <v>216</v>
      </c>
      <c r="I116" s="505"/>
      <c r="J116" s="505"/>
      <c r="K116" s="609" t="s">
        <v>350</v>
      </c>
      <c r="L116" s="1110"/>
      <c r="M116" s="1110"/>
      <c r="N116" s="1110"/>
      <c r="O116" s="1110">
        <f>+L116+M116-N116</f>
        <v>0</v>
      </c>
      <c r="P116" s="1110"/>
      <c r="Q116" s="1110"/>
      <c r="R116" s="1110"/>
      <c r="S116" s="1110"/>
      <c r="T116" s="1110"/>
      <c r="U116" s="1110"/>
      <c r="V116" s="1110"/>
      <c r="W116" s="1110"/>
      <c r="X116" s="1110"/>
      <c r="Y116" s="1110"/>
      <c r="Z116" s="1110"/>
      <c r="AA116" s="1069">
        <f t="shared" si="44"/>
        <v>0</v>
      </c>
      <c r="AB116" s="1113" t="e">
        <f t="shared" si="48"/>
        <v>#DIV/0!</v>
      </c>
      <c r="AC116" s="729"/>
    </row>
    <row r="117" spans="1:29" ht="22.5" hidden="1" customHeight="1" thickTop="1" thickBot="1" x14ac:dyDescent="0.3">
      <c r="A117" s="425">
        <v>1</v>
      </c>
      <c r="B117" s="505" t="s">
        <v>216</v>
      </c>
      <c r="C117" s="505" t="s">
        <v>216</v>
      </c>
      <c r="D117" s="505" t="s">
        <v>231</v>
      </c>
      <c r="E117" s="505" t="s">
        <v>243</v>
      </c>
      <c r="F117" s="505" t="s">
        <v>307</v>
      </c>
      <c r="G117" s="505" t="s">
        <v>305</v>
      </c>
      <c r="H117" s="505" t="s">
        <v>227</v>
      </c>
      <c r="I117" s="505"/>
      <c r="J117" s="505"/>
      <c r="K117" s="609" t="s">
        <v>351</v>
      </c>
      <c r="L117" s="1110"/>
      <c r="M117" s="1110"/>
      <c r="N117" s="1110"/>
      <c r="O117" s="1110">
        <f>+L117+M117-N117</f>
        <v>0</v>
      </c>
      <c r="P117" s="1110"/>
      <c r="Q117" s="1110"/>
      <c r="R117" s="1110"/>
      <c r="S117" s="1110"/>
      <c r="T117" s="1110"/>
      <c r="U117" s="1110"/>
      <c r="V117" s="1110"/>
      <c r="W117" s="1110"/>
      <c r="X117" s="1110"/>
      <c r="Y117" s="1110"/>
      <c r="Z117" s="1110"/>
      <c r="AA117" s="1069">
        <f t="shared" si="44"/>
        <v>0</v>
      </c>
      <c r="AB117" s="1113" t="e">
        <f t="shared" si="48"/>
        <v>#DIV/0!</v>
      </c>
      <c r="AC117" s="729"/>
    </row>
    <row r="118" spans="1:29" ht="2.25" hidden="1" customHeight="1" thickTop="1" thickBot="1" x14ac:dyDescent="0.3">
      <c r="A118" s="425">
        <v>1</v>
      </c>
      <c r="B118" s="505" t="s">
        <v>216</v>
      </c>
      <c r="C118" s="505" t="s">
        <v>216</v>
      </c>
      <c r="D118" s="505" t="s">
        <v>231</v>
      </c>
      <c r="E118" s="505" t="s">
        <v>243</v>
      </c>
      <c r="F118" s="505" t="s">
        <v>307</v>
      </c>
      <c r="G118" s="505" t="s">
        <v>305</v>
      </c>
      <c r="H118" s="505" t="s">
        <v>229</v>
      </c>
      <c r="I118" s="505"/>
      <c r="J118" s="505"/>
      <c r="K118" s="609" t="s">
        <v>352</v>
      </c>
      <c r="L118" s="1110"/>
      <c r="M118" s="1110"/>
      <c r="N118" s="1110"/>
      <c r="O118" s="1110">
        <f>+L118+M118-N118</f>
        <v>0</v>
      </c>
      <c r="P118" s="1110"/>
      <c r="Q118" s="1110"/>
      <c r="R118" s="1110"/>
      <c r="S118" s="1110"/>
      <c r="T118" s="1110"/>
      <c r="U118" s="1110"/>
      <c r="V118" s="1110"/>
      <c r="W118" s="1110"/>
      <c r="X118" s="1110"/>
      <c r="Y118" s="1110"/>
      <c r="Z118" s="1110"/>
      <c r="AA118" s="1069">
        <f t="shared" si="44"/>
        <v>0</v>
      </c>
      <c r="AB118" s="1113" t="e">
        <f t="shared" si="48"/>
        <v>#DIV/0!</v>
      </c>
      <c r="AC118" s="729"/>
    </row>
    <row r="119" spans="1:29" s="1062" customFormat="1" ht="22.5" hidden="1" customHeight="1" thickTop="1" thickBot="1" x14ac:dyDescent="0.3">
      <c r="A119" s="424">
        <v>1</v>
      </c>
      <c r="B119" s="519" t="s">
        <v>216</v>
      </c>
      <c r="C119" s="519" t="s">
        <v>216</v>
      </c>
      <c r="D119" s="519" t="s">
        <v>231</v>
      </c>
      <c r="E119" s="519" t="s">
        <v>243</v>
      </c>
      <c r="F119" s="519" t="s">
        <v>307</v>
      </c>
      <c r="G119" s="519" t="s">
        <v>313</v>
      </c>
      <c r="H119" s="519"/>
      <c r="I119" s="519"/>
      <c r="J119" s="519"/>
      <c r="K119" s="1105" t="s">
        <v>353</v>
      </c>
      <c r="L119" s="1106">
        <f>SUM(L120:L122)</f>
        <v>0</v>
      </c>
      <c r="M119" s="1106">
        <f t="shared" ref="M119:Z119" si="55">SUM(M120)</f>
        <v>0</v>
      </c>
      <c r="N119" s="1106">
        <f t="shared" si="55"/>
        <v>0</v>
      </c>
      <c r="O119" s="1106">
        <f t="shared" si="55"/>
        <v>0</v>
      </c>
      <c r="P119" s="1106">
        <f t="shared" si="55"/>
        <v>0</v>
      </c>
      <c r="Q119" s="1106"/>
      <c r="R119" s="1106">
        <f t="shared" si="55"/>
        <v>0</v>
      </c>
      <c r="S119" s="1106"/>
      <c r="T119" s="1106">
        <f t="shared" si="55"/>
        <v>0</v>
      </c>
      <c r="U119" s="1106"/>
      <c r="V119" s="1106">
        <f t="shared" si="55"/>
        <v>0</v>
      </c>
      <c r="W119" s="1106"/>
      <c r="X119" s="1106">
        <f t="shared" si="55"/>
        <v>0</v>
      </c>
      <c r="Y119" s="1106">
        <f t="shared" si="55"/>
        <v>0</v>
      </c>
      <c r="Z119" s="1106">
        <f t="shared" si="55"/>
        <v>0</v>
      </c>
      <c r="AA119" s="1069">
        <f t="shared" si="44"/>
        <v>0</v>
      </c>
      <c r="AB119" s="1107" t="e">
        <f t="shared" si="48"/>
        <v>#DIV/0!</v>
      </c>
      <c r="AC119" s="522"/>
    </row>
    <row r="120" spans="1:29" ht="22.5" hidden="1" customHeight="1" thickTop="1" thickBot="1" x14ac:dyDescent="0.3">
      <c r="A120" s="425">
        <v>1</v>
      </c>
      <c r="B120" s="505" t="s">
        <v>216</v>
      </c>
      <c r="C120" s="505" t="s">
        <v>216</v>
      </c>
      <c r="D120" s="505" t="s">
        <v>231</v>
      </c>
      <c r="E120" s="505" t="s">
        <v>243</v>
      </c>
      <c r="F120" s="505" t="s">
        <v>307</v>
      </c>
      <c r="G120" s="505" t="s">
        <v>313</v>
      </c>
      <c r="H120" s="505" t="s">
        <v>216</v>
      </c>
      <c r="I120" s="505"/>
      <c r="J120" s="505"/>
      <c r="K120" s="609" t="s">
        <v>354</v>
      </c>
      <c r="L120" s="1110"/>
      <c r="M120" s="1110"/>
      <c r="N120" s="1110"/>
      <c r="O120" s="1110">
        <f>+L120+M120-N120</f>
        <v>0</v>
      </c>
      <c r="P120" s="1110"/>
      <c r="Q120" s="1110"/>
      <c r="R120" s="1110"/>
      <c r="S120" s="1110"/>
      <c r="T120" s="1110"/>
      <c r="U120" s="1110"/>
      <c r="V120" s="1110"/>
      <c r="W120" s="1110"/>
      <c r="X120" s="1110"/>
      <c r="Y120" s="1110"/>
      <c r="Z120" s="1110"/>
      <c r="AA120" s="1069">
        <f t="shared" si="44"/>
        <v>0</v>
      </c>
      <c r="AB120" s="1113" t="e">
        <f t="shared" si="48"/>
        <v>#DIV/0!</v>
      </c>
      <c r="AC120" s="729"/>
    </row>
    <row r="121" spans="1:29" ht="22.5" hidden="1" customHeight="1" thickTop="1" thickBot="1" x14ac:dyDescent="0.3">
      <c r="A121" s="425">
        <v>1</v>
      </c>
      <c r="B121" s="505" t="s">
        <v>216</v>
      </c>
      <c r="C121" s="505" t="s">
        <v>216</v>
      </c>
      <c r="D121" s="505" t="s">
        <v>231</v>
      </c>
      <c r="E121" s="505" t="s">
        <v>243</v>
      </c>
      <c r="F121" s="505" t="s">
        <v>307</v>
      </c>
      <c r="G121" s="505" t="s">
        <v>313</v>
      </c>
      <c r="H121" s="505" t="s">
        <v>227</v>
      </c>
      <c r="I121" s="505"/>
      <c r="J121" s="505"/>
      <c r="K121" s="609" t="s">
        <v>355</v>
      </c>
      <c r="L121" s="1110"/>
      <c r="M121" s="1110"/>
      <c r="N121" s="1110"/>
      <c r="O121" s="1110">
        <f>+L121+M121-N121</f>
        <v>0</v>
      </c>
      <c r="P121" s="1110"/>
      <c r="Q121" s="1110"/>
      <c r="R121" s="1110"/>
      <c r="S121" s="1110"/>
      <c r="T121" s="1110"/>
      <c r="U121" s="1110"/>
      <c r="V121" s="1110"/>
      <c r="W121" s="1110"/>
      <c r="X121" s="1110"/>
      <c r="Y121" s="1110"/>
      <c r="Z121" s="1110"/>
      <c r="AA121" s="1069">
        <f t="shared" si="44"/>
        <v>0</v>
      </c>
      <c r="AB121" s="1113" t="e">
        <f t="shared" si="48"/>
        <v>#DIV/0!</v>
      </c>
      <c r="AC121" s="729"/>
    </row>
    <row r="122" spans="1:29" ht="22.5" hidden="1" customHeight="1" thickTop="1" thickBot="1" x14ac:dyDescent="0.3">
      <c r="A122" s="425">
        <v>1</v>
      </c>
      <c r="B122" s="505" t="s">
        <v>216</v>
      </c>
      <c r="C122" s="505" t="s">
        <v>216</v>
      </c>
      <c r="D122" s="505" t="s">
        <v>231</v>
      </c>
      <c r="E122" s="505" t="s">
        <v>243</v>
      </c>
      <c r="F122" s="505" t="s">
        <v>307</v>
      </c>
      <c r="G122" s="505" t="s">
        <v>313</v>
      </c>
      <c r="H122" s="505" t="s">
        <v>229</v>
      </c>
      <c r="I122" s="505"/>
      <c r="J122" s="505"/>
      <c r="K122" s="609" t="s">
        <v>356</v>
      </c>
      <c r="L122" s="1110"/>
      <c r="M122" s="1110"/>
      <c r="N122" s="1110"/>
      <c r="O122" s="1110">
        <f>+L122+M122-N122</f>
        <v>0</v>
      </c>
      <c r="P122" s="1110"/>
      <c r="Q122" s="1110"/>
      <c r="R122" s="1110"/>
      <c r="S122" s="1110"/>
      <c r="T122" s="1110"/>
      <c r="U122" s="1110"/>
      <c r="V122" s="1110"/>
      <c r="W122" s="1110"/>
      <c r="X122" s="1110"/>
      <c r="Y122" s="1110"/>
      <c r="Z122" s="1110"/>
      <c r="AA122" s="1069">
        <f t="shared" si="44"/>
        <v>0</v>
      </c>
      <c r="AB122" s="1113" t="e">
        <f t="shared" si="48"/>
        <v>#DIV/0!</v>
      </c>
      <c r="AC122" s="729"/>
    </row>
    <row r="123" spans="1:29" s="1062" customFormat="1" ht="22.5" hidden="1" customHeight="1" thickTop="1" thickBot="1" x14ac:dyDescent="0.3">
      <c r="A123" s="424">
        <v>1</v>
      </c>
      <c r="B123" s="519" t="s">
        <v>216</v>
      </c>
      <c r="C123" s="519" t="s">
        <v>216</v>
      </c>
      <c r="D123" s="519" t="s">
        <v>231</v>
      </c>
      <c r="E123" s="519" t="s">
        <v>243</v>
      </c>
      <c r="F123" s="519" t="s">
        <v>307</v>
      </c>
      <c r="G123" s="519" t="s">
        <v>243</v>
      </c>
      <c r="H123" s="519"/>
      <c r="I123" s="519"/>
      <c r="J123" s="519"/>
      <c r="K123" s="1105" t="s">
        <v>357</v>
      </c>
      <c r="L123" s="1106">
        <f>SUM(L124:L126)</f>
        <v>0</v>
      </c>
      <c r="M123" s="1106">
        <f t="shared" ref="M123:Z123" si="56">SUM(M124:M126)</f>
        <v>0</v>
      </c>
      <c r="N123" s="1106">
        <f t="shared" si="56"/>
        <v>0</v>
      </c>
      <c r="O123" s="1106">
        <f t="shared" si="56"/>
        <v>0</v>
      </c>
      <c r="P123" s="1106">
        <f t="shared" si="56"/>
        <v>0</v>
      </c>
      <c r="Q123" s="1106"/>
      <c r="R123" s="1106">
        <f t="shared" si="56"/>
        <v>0</v>
      </c>
      <c r="S123" s="1106"/>
      <c r="T123" s="1106">
        <f t="shared" si="56"/>
        <v>0</v>
      </c>
      <c r="U123" s="1106"/>
      <c r="V123" s="1106">
        <f t="shared" si="56"/>
        <v>0</v>
      </c>
      <c r="W123" s="1106"/>
      <c r="X123" s="1106">
        <f t="shared" si="56"/>
        <v>0</v>
      </c>
      <c r="Y123" s="1106">
        <f t="shared" si="56"/>
        <v>0</v>
      </c>
      <c r="Z123" s="1106">
        <f t="shared" si="56"/>
        <v>0</v>
      </c>
      <c r="AA123" s="1069">
        <f t="shared" si="44"/>
        <v>0</v>
      </c>
      <c r="AB123" s="1107" t="e">
        <f t="shared" si="48"/>
        <v>#DIV/0!</v>
      </c>
      <c r="AC123" s="522"/>
    </row>
    <row r="124" spans="1:29" ht="3" customHeight="1" thickTop="1" thickBot="1" x14ac:dyDescent="0.3">
      <c r="A124" s="425">
        <v>1</v>
      </c>
      <c r="B124" s="505" t="s">
        <v>216</v>
      </c>
      <c r="C124" s="505" t="s">
        <v>216</v>
      </c>
      <c r="D124" s="505" t="s">
        <v>231</v>
      </c>
      <c r="E124" s="505" t="s">
        <v>243</v>
      </c>
      <c r="F124" s="505" t="s">
        <v>307</v>
      </c>
      <c r="G124" s="505" t="s">
        <v>243</v>
      </c>
      <c r="H124" s="505" t="s">
        <v>216</v>
      </c>
      <c r="I124" s="505"/>
      <c r="J124" s="505"/>
      <c r="K124" s="609" t="s">
        <v>358</v>
      </c>
      <c r="L124" s="1110"/>
      <c r="M124" s="1110"/>
      <c r="N124" s="1110"/>
      <c r="O124" s="1110">
        <f>+L124+M124-N124</f>
        <v>0</v>
      </c>
      <c r="P124" s="1110"/>
      <c r="Q124" s="1110"/>
      <c r="R124" s="1110"/>
      <c r="S124" s="1110"/>
      <c r="T124" s="1110"/>
      <c r="U124" s="1110"/>
      <c r="V124" s="1110"/>
      <c r="W124" s="1110"/>
      <c r="X124" s="1110"/>
      <c r="Y124" s="1110"/>
      <c r="Z124" s="1110"/>
      <c r="AA124" s="1069">
        <f t="shared" si="44"/>
        <v>0</v>
      </c>
      <c r="AB124" s="1113" t="e">
        <f t="shared" si="48"/>
        <v>#DIV/0!</v>
      </c>
      <c r="AC124" s="729"/>
    </row>
    <row r="125" spans="1:29" ht="22.5" hidden="1" customHeight="1" thickTop="1" thickBot="1" x14ac:dyDescent="0.3">
      <c r="A125" s="425">
        <v>1</v>
      </c>
      <c r="B125" s="505" t="s">
        <v>216</v>
      </c>
      <c r="C125" s="505" t="s">
        <v>216</v>
      </c>
      <c r="D125" s="505" t="s">
        <v>231</v>
      </c>
      <c r="E125" s="505" t="s">
        <v>243</v>
      </c>
      <c r="F125" s="505" t="s">
        <v>307</v>
      </c>
      <c r="G125" s="505" t="s">
        <v>243</v>
      </c>
      <c r="H125" s="505" t="s">
        <v>227</v>
      </c>
      <c r="I125" s="505"/>
      <c r="J125" s="505"/>
      <c r="K125" s="609" t="s">
        <v>359</v>
      </c>
      <c r="L125" s="1110"/>
      <c r="M125" s="1110"/>
      <c r="N125" s="1110"/>
      <c r="O125" s="1110">
        <f>+L125+M125-N125</f>
        <v>0</v>
      </c>
      <c r="P125" s="1110"/>
      <c r="Q125" s="1110"/>
      <c r="R125" s="1110"/>
      <c r="S125" s="1110"/>
      <c r="T125" s="1110"/>
      <c r="U125" s="1110"/>
      <c r="V125" s="1110"/>
      <c r="W125" s="1110"/>
      <c r="X125" s="1110"/>
      <c r="Y125" s="1110"/>
      <c r="Z125" s="1110"/>
      <c r="AA125" s="1069">
        <f t="shared" si="44"/>
        <v>0</v>
      </c>
      <c r="AB125" s="1113" t="e">
        <f t="shared" si="48"/>
        <v>#DIV/0!</v>
      </c>
      <c r="AC125" s="729"/>
    </row>
    <row r="126" spans="1:29" ht="22.5" hidden="1" customHeight="1" thickTop="1" thickBot="1" x14ac:dyDescent="0.3">
      <c r="A126" s="425">
        <v>1</v>
      </c>
      <c r="B126" s="505" t="s">
        <v>216</v>
      </c>
      <c r="C126" s="505" t="s">
        <v>216</v>
      </c>
      <c r="D126" s="505" t="s">
        <v>231</v>
      </c>
      <c r="E126" s="505" t="s">
        <v>243</v>
      </c>
      <c r="F126" s="505" t="s">
        <v>307</v>
      </c>
      <c r="G126" s="505" t="s">
        <v>243</v>
      </c>
      <c r="H126" s="505" t="s">
        <v>229</v>
      </c>
      <c r="I126" s="505"/>
      <c r="J126" s="505"/>
      <c r="K126" s="609" t="s">
        <v>360</v>
      </c>
      <c r="L126" s="1110"/>
      <c r="M126" s="1110"/>
      <c r="N126" s="1110"/>
      <c r="O126" s="1110">
        <f>+L126+M126-N126</f>
        <v>0</v>
      </c>
      <c r="P126" s="1110"/>
      <c r="Q126" s="1110"/>
      <c r="R126" s="1110"/>
      <c r="S126" s="1110"/>
      <c r="T126" s="1110"/>
      <c r="U126" s="1110"/>
      <c r="V126" s="1110"/>
      <c r="W126" s="1110"/>
      <c r="X126" s="1110"/>
      <c r="Y126" s="1110"/>
      <c r="Z126" s="1110"/>
      <c r="AA126" s="1069">
        <f t="shared" si="44"/>
        <v>0</v>
      </c>
      <c r="AB126" s="1113" t="e">
        <f t="shared" si="48"/>
        <v>#DIV/0!</v>
      </c>
      <c r="AC126" s="729"/>
    </row>
    <row r="127" spans="1:29" s="1062" customFormat="1" ht="48.75" hidden="1" customHeight="1" thickTop="1" thickBot="1" x14ac:dyDescent="0.3">
      <c r="A127" s="424">
        <v>1</v>
      </c>
      <c r="B127" s="519" t="s">
        <v>216</v>
      </c>
      <c r="C127" s="519" t="s">
        <v>216</v>
      </c>
      <c r="D127" s="519" t="s">
        <v>231</v>
      </c>
      <c r="E127" s="519" t="s">
        <v>243</v>
      </c>
      <c r="F127" s="519" t="s">
        <v>307</v>
      </c>
      <c r="G127" s="519" t="s">
        <v>361</v>
      </c>
      <c r="H127" s="519"/>
      <c r="I127" s="519"/>
      <c r="J127" s="519"/>
      <c r="K127" s="1105" t="s">
        <v>362</v>
      </c>
      <c r="L127" s="1106">
        <f>SUM(L128:L130)</f>
        <v>0</v>
      </c>
      <c r="M127" s="1106">
        <f t="shared" ref="M127:Z127" si="57">SUM(M128:M130)</f>
        <v>0</v>
      </c>
      <c r="N127" s="1106">
        <f t="shared" si="57"/>
        <v>0</v>
      </c>
      <c r="O127" s="1106">
        <f t="shared" si="57"/>
        <v>0</v>
      </c>
      <c r="P127" s="1106">
        <f t="shared" si="57"/>
        <v>0</v>
      </c>
      <c r="Q127" s="1106"/>
      <c r="R127" s="1106">
        <f t="shared" si="57"/>
        <v>0</v>
      </c>
      <c r="S127" s="1106"/>
      <c r="T127" s="1106">
        <f t="shared" si="57"/>
        <v>0</v>
      </c>
      <c r="U127" s="1106"/>
      <c r="V127" s="1106">
        <f t="shared" si="57"/>
        <v>0</v>
      </c>
      <c r="W127" s="1106"/>
      <c r="X127" s="1106">
        <f t="shared" si="57"/>
        <v>0</v>
      </c>
      <c r="Y127" s="1106">
        <f t="shared" si="57"/>
        <v>0</v>
      </c>
      <c r="Z127" s="1106">
        <f t="shared" si="57"/>
        <v>0</v>
      </c>
      <c r="AA127" s="1069">
        <f t="shared" si="44"/>
        <v>0</v>
      </c>
      <c r="AB127" s="1107" t="e">
        <f t="shared" si="48"/>
        <v>#DIV/0!</v>
      </c>
      <c r="AC127" s="522"/>
    </row>
    <row r="128" spans="1:29" ht="22.5" hidden="1" customHeight="1" thickTop="1" thickBot="1" x14ac:dyDescent="0.3">
      <c r="A128" s="425">
        <v>1</v>
      </c>
      <c r="B128" s="505" t="s">
        <v>216</v>
      </c>
      <c r="C128" s="505" t="s">
        <v>216</v>
      </c>
      <c r="D128" s="505" t="s">
        <v>231</v>
      </c>
      <c r="E128" s="505" t="s">
        <v>243</v>
      </c>
      <c r="F128" s="505" t="s">
        <v>307</v>
      </c>
      <c r="G128" s="505" t="s">
        <v>361</v>
      </c>
      <c r="H128" s="505" t="s">
        <v>216</v>
      </c>
      <c r="I128" s="505"/>
      <c r="J128" s="505"/>
      <c r="K128" s="609" t="s">
        <v>363</v>
      </c>
      <c r="L128" s="1110"/>
      <c r="M128" s="1110"/>
      <c r="N128" s="1110"/>
      <c r="O128" s="1110">
        <f>+L128+M128-N128</f>
        <v>0</v>
      </c>
      <c r="P128" s="1110"/>
      <c r="Q128" s="1110"/>
      <c r="R128" s="1110"/>
      <c r="S128" s="1110"/>
      <c r="T128" s="1110"/>
      <c r="U128" s="1110"/>
      <c r="V128" s="1110"/>
      <c r="W128" s="1110"/>
      <c r="X128" s="1110"/>
      <c r="Y128" s="1110"/>
      <c r="Z128" s="1110">
        <v>0</v>
      </c>
      <c r="AA128" s="1069">
        <f t="shared" si="44"/>
        <v>0</v>
      </c>
      <c r="AB128" s="1113" t="e">
        <f t="shared" si="48"/>
        <v>#DIV/0!</v>
      </c>
      <c r="AC128" s="729"/>
    </row>
    <row r="129" spans="1:29" ht="22.5" hidden="1" customHeight="1" thickTop="1" thickBot="1" x14ac:dyDescent="0.3">
      <c r="A129" s="425">
        <v>1</v>
      </c>
      <c r="B129" s="505" t="s">
        <v>216</v>
      </c>
      <c r="C129" s="505" t="s">
        <v>216</v>
      </c>
      <c r="D129" s="505" t="s">
        <v>231</v>
      </c>
      <c r="E129" s="505" t="s">
        <v>243</v>
      </c>
      <c r="F129" s="505" t="s">
        <v>307</v>
      </c>
      <c r="G129" s="505" t="s">
        <v>361</v>
      </c>
      <c r="H129" s="505" t="s">
        <v>227</v>
      </c>
      <c r="I129" s="505"/>
      <c r="J129" s="505"/>
      <c r="K129" s="609" t="s">
        <v>364</v>
      </c>
      <c r="L129" s="1110"/>
      <c r="M129" s="1110"/>
      <c r="N129" s="1110"/>
      <c r="O129" s="1110">
        <f>+L129+M129-N129</f>
        <v>0</v>
      </c>
      <c r="P129" s="1110"/>
      <c r="Q129" s="1110"/>
      <c r="R129" s="1110"/>
      <c r="S129" s="1110"/>
      <c r="T129" s="1110"/>
      <c r="U129" s="1110"/>
      <c r="V129" s="1110"/>
      <c r="W129" s="1110"/>
      <c r="X129" s="1110"/>
      <c r="Y129" s="1110"/>
      <c r="Z129" s="1110">
        <v>0</v>
      </c>
      <c r="AA129" s="1069">
        <f t="shared" si="44"/>
        <v>0</v>
      </c>
      <c r="AB129" s="1113" t="e">
        <f t="shared" si="48"/>
        <v>#DIV/0!</v>
      </c>
      <c r="AC129" s="729"/>
    </row>
    <row r="130" spans="1:29" ht="22.5" hidden="1" customHeight="1" thickTop="1" thickBot="1" x14ac:dyDescent="0.3">
      <c r="A130" s="425">
        <v>1</v>
      </c>
      <c r="B130" s="505" t="s">
        <v>216</v>
      </c>
      <c r="C130" s="505" t="s">
        <v>216</v>
      </c>
      <c r="D130" s="505" t="s">
        <v>231</v>
      </c>
      <c r="E130" s="505" t="s">
        <v>243</v>
      </c>
      <c r="F130" s="505" t="s">
        <v>307</v>
      </c>
      <c r="G130" s="505" t="s">
        <v>361</v>
      </c>
      <c r="H130" s="505" t="s">
        <v>229</v>
      </c>
      <c r="I130" s="505"/>
      <c r="J130" s="505"/>
      <c r="K130" s="609" t="s">
        <v>365</v>
      </c>
      <c r="L130" s="1110"/>
      <c r="M130" s="1110"/>
      <c r="N130" s="1110"/>
      <c r="O130" s="1110">
        <f>+L130+M130-N130</f>
        <v>0</v>
      </c>
      <c r="P130" s="1110"/>
      <c r="Q130" s="1110"/>
      <c r="R130" s="1110"/>
      <c r="S130" s="1110"/>
      <c r="T130" s="1110"/>
      <c r="U130" s="1110"/>
      <c r="V130" s="1110"/>
      <c r="W130" s="1110"/>
      <c r="X130" s="1110"/>
      <c r="Y130" s="1110"/>
      <c r="Z130" s="1110">
        <v>0</v>
      </c>
      <c r="AA130" s="1069">
        <f t="shared" si="44"/>
        <v>0</v>
      </c>
      <c r="AB130" s="1113" t="e">
        <f t="shared" si="48"/>
        <v>#DIV/0!</v>
      </c>
      <c r="AC130" s="729"/>
    </row>
    <row r="131" spans="1:29" s="1062" customFormat="1" ht="22.5" hidden="1" customHeight="1" thickTop="1" thickBot="1" x14ac:dyDescent="0.3">
      <c r="A131" s="424">
        <v>1</v>
      </c>
      <c r="B131" s="519" t="s">
        <v>216</v>
      </c>
      <c r="C131" s="519" t="s">
        <v>216</v>
      </c>
      <c r="D131" s="519" t="s">
        <v>231</v>
      </c>
      <c r="E131" s="519" t="s">
        <v>243</v>
      </c>
      <c r="F131" s="519" t="s">
        <v>307</v>
      </c>
      <c r="G131" s="519" t="s">
        <v>366</v>
      </c>
      <c r="H131" s="519"/>
      <c r="I131" s="519"/>
      <c r="J131" s="519"/>
      <c r="K131" s="1105" t="s">
        <v>367</v>
      </c>
      <c r="L131" s="1106">
        <f>SUM(L132:L134)</f>
        <v>0</v>
      </c>
      <c r="M131" s="1106">
        <f t="shared" ref="M131:Y131" si="58">SUM(M132:M134)</f>
        <v>0</v>
      </c>
      <c r="N131" s="1106">
        <f t="shared" si="58"/>
        <v>0</v>
      </c>
      <c r="O131" s="1106">
        <f t="shared" si="58"/>
        <v>0</v>
      </c>
      <c r="P131" s="1106">
        <f t="shared" si="58"/>
        <v>0</v>
      </c>
      <c r="Q131" s="1106"/>
      <c r="R131" s="1106">
        <f t="shared" si="58"/>
        <v>0</v>
      </c>
      <c r="S131" s="1106"/>
      <c r="T131" s="1106">
        <f t="shared" si="58"/>
        <v>0</v>
      </c>
      <c r="U131" s="1106"/>
      <c r="V131" s="1106">
        <f t="shared" si="58"/>
        <v>0</v>
      </c>
      <c r="W131" s="1106"/>
      <c r="X131" s="1106">
        <f t="shared" si="58"/>
        <v>0</v>
      </c>
      <c r="Y131" s="1106">
        <f t="shared" si="58"/>
        <v>0</v>
      </c>
      <c r="Z131" s="1106">
        <v>0</v>
      </c>
      <c r="AA131" s="1069">
        <f t="shared" si="44"/>
        <v>0</v>
      </c>
      <c r="AB131" s="1107" t="e">
        <f>+#REF!/X131</f>
        <v>#REF!</v>
      </c>
      <c r="AC131" s="522"/>
    </row>
    <row r="132" spans="1:29" ht="22.5" hidden="1" customHeight="1" thickTop="1" thickBot="1" x14ac:dyDescent="0.3">
      <c r="A132" s="425">
        <v>1</v>
      </c>
      <c r="B132" s="505" t="s">
        <v>216</v>
      </c>
      <c r="C132" s="505" t="s">
        <v>216</v>
      </c>
      <c r="D132" s="505" t="s">
        <v>231</v>
      </c>
      <c r="E132" s="505" t="s">
        <v>243</v>
      </c>
      <c r="F132" s="505" t="s">
        <v>307</v>
      </c>
      <c r="G132" s="505" t="s">
        <v>366</v>
      </c>
      <c r="H132" s="505" t="s">
        <v>216</v>
      </c>
      <c r="I132" s="505"/>
      <c r="J132" s="505"/>
      <c r="K132" s="609" t="s">
        <v>368</v>
      </c>
      <c r="L132" s="1110"/>
      <c r="M132" s="1110"/>
      <c r="N132" s="1110"/>
      <c r="O132" s="1110">
        <f>+L132+M132-N132</f>
        <v>0</v>
      </c>
      <c r="P132" s="1110"/>
      <c r="Q132" s="1110"/>
      <c r="R132" s="1110"/>
      <c r="S132" s="1110"/>
      <c r="T132" s="1110"/>
      <c r="U132" s="1110"/>
      <c r="V132" s="1110"/>
      <c r="W132" s="1110"/>
      <c r="X132" s="1110"/>
      <c r="Y132" s="1110"/>
      <c r="Z132" s="1110">
        <v>0</v>
      </c>
      <c r="AA132" s="1069">
        <f t="shared" si="44"/>
        <v>0</v>
      </c>
      <c r="AB132" s="1113" t="e">
        <f t="shared" ref="AB132:AB195" si="59">+AA132/X132</f>
        <v>#DIV/0!</v>
      </c>
      <c r="AC132" s="729"/>
    </row>
    <row r="133" spans="1:29" ht="6.75" hidden="1" customHeight="1" thickTop="1" thickBot="1" x14ac:dyDescent="0.3">
      <c r="A133" s="425">
        <v>1</v>
      </c>
      <c r="B133" s="505" t="s">
        <v>216</v>
      </c>
      <c r="C133" s="505" t="s">
        <v>216</v>
      </c>
      <c r="D133" s="505" t="s">
        <v>231</v>
      </c>
      <c r="E133" s="505" t="s">
        <v>243</v>
      </c>
      <c r="F133" s="505" t="s">
        <v>307</v>
      </c>
      <c r="G133" s="505" t="s">
        <v>366</v>
      </c>
      <c r="H133" s="505" t="s">
        <v>227</v>
      </c>
      <c r="I133" s="505"/>
      <c r="J133" s="505"/>
      <c r="K133" s="609" t="s">
        <v>369</v>
      </c>
      <c r="L133" s="1110"/>
      <c r="M133" s="1110"/>
      <c r="N133" s="1110"/>
      <c r="O133" s="1110">
        <f>+L133+M133-N133</f>
        <v>0</v>
      </c>
      <c r="P133" s="1110"/>
      <c r="Q133" s="1110"/>
      <c r="R133" s="1110"/>
      <c r="S133" s="1110"/>
      <c r="T133" s="1110"/>
      <c r="U133" s="1110"/>
      <c r="V133" s="1110"/>
      <c r="W133" s="1110"/>
      <c r="X133" s="1110"/>
      <c r="Y133" s="1110"/>
      <c r="Z133" s="1110"/>
      <c r="AA133" s="1069">
        <f t="shared" si="44"/>
        <v>0</v>
      </c>
      <c r="AB133" s="1113" t="e">
        <f t="shared" si="59"/>
        <v>#DIV/0!</v>
      </c>
      <c r="AC133" s="729"/>
    </row>
    <row r="134" spans="1:29" ht="22.5" hidden="1" customHeight="1" thickTop="1" thickBot="1" x14ac:dyDescent="0.3">
      <c r="A134" s="425">
        <v>1</v>
      </c>
      <c r="B134" s="505" t="s">
        <v>216</v>
      </c>
      <c r="C134" s="505" t="s">
        <v>216</v>
      </c>
      <c r="D134" s="505" t="s">
        <v>231</v>
      </c>
      <c r="E134" s="505" t="s">
        <v>243</v>
      </c>
      <c r="F134" s="505" t="s">
        <v>307</v>
      </c>
      <c r="G134" s="505" t="s">
        <v>366</v>
      </c>
      <c r="H134" s="505" t="s">
        <v>229</v>
      </c>
      <c r="I134" s="505"/>
      <c r="J134" s="505"/>
      <c r="K134" s="609" t="s">
        <v>370</v>
      </c>
      <c r="L134" s="1110"/>
      <c r="M134" s="1110"/>
      <c r="N134" s="1110"/>
      <c r="O134" s="1110">
        <f>+L134+M134-N134</f>
        <v>0</v>
      </c>
      <c r="P134" s="1110"/>
      <c r="Q134" s="1110"/>
      <c r="R134" s="1110"/>
      <c r="S134" s="1110"/>
      <c r="T134" s="1110"/>
      <c r="U134" s="1110"/>
      <c r="V134" s="1110"/>
      <c r="W134" s="1110"/>
      <c r="X134" s="1110"/>
      <c r="Y134" s="1110"/>
      <c r="Z134" s="1110"/>
      <c r="AA134" s="1069">
        <f t="shared" si="44"/>
        <v>0</v>
      </c>
      <c r="AB134" s="1113" t="e">
        <f t="shared" si="59"/>
        <v>#DIV/0!</v>
      </c>
      <c r="AC134" s="729"/>
    </row>
    <row r="135" spans="1:29" s="1062" customFormat="1" ht="39.75" customHeight="1" thickTop="1" thickBot="1" x14ac:dyDescent="0.3">
      <c r="A135" s="424">
        <v>1</v>
      </c>
      <c r="B135" s="519" t="s">
        <v>216</v>
      </c>
      <c r="C135" s="519" t="s">
        <v>216</v>
      </c>
      <c r="D135" s="519" t="s">
        <v>231</v>
      </c>
      <c r="E135" s="519" t="s">
        <v>243</v>
      </c>
      <c r="F135" s="519" t="s">
        <v>307</v>
      </c>
      <c r="G135" s="519" t="s">
        <v>371</v>
      </c>
      <c r="H135" s="519"/>
      <c r="I135" s="519"/>
      <c r="J135" s="519"/>
      <c r="K135" s="1105" t="s">
        <v>372</v>
      </c>
      <c r="L135" s="1106">
        <f>SUM(L136:L138)</f>
        <v>172000000</v>
      </c>
      <c r="M135" s="1106">
        <f t="shared" ref="M135:Z135" si="60">SUM(M136:M138)</f>
        <v>0</v>
      </c>
      <c r="N135" s="1106">
        <f t="shared" si="60"/>
        <v>0</v>
      </c>
      <c r="O135" s="1106">
        <f t="shared" si="60"/>
        <v>172000000</v>
      </c>
      <c r="P135" s="1106">
        <f t="shared" si="60"/>
        <v>0</v>
      </c>
      <c r="Q135" s="1106"/>
      <c r="R135" s="1106">
        <f t="shared" si="60"/>
        <v>154800000</v>
      </c>
      <c r="S135" s="1106"/>
      <c r="T135" s="1106">
        <f t="shared" si="60"/>
        <v>17200000</v>
      </c>
      <c r="U135" s="1106"/>
      <c r="V135" s="1106">
        <f t="shared" si="60"/>
        <v>0</v>
      </c>
      <c r="W135" s="1106"/>
      <c r="X135" s="1106">
        <f t="shared" si="60"/>
        <v>0</v>
      </c>
      <c r="Y135" s="1106">
        <f t="shared" si="60"/>
        <v>44062455</v>
      </c>
      <c r="Z135" s="1106">
        <f t="shared" si="60"/>
        <v>142302401</v>
      </c>
      <c r="AA135" s="1069">
        <f t="shared" si="44"/>
        <v>186364856</v>
      </c>
      <c r="AB135" s="1107" t="e">
        <f t="shared" si="59"/>
        <v>#DIV/0!</v>
      </c>
      <c r="AC135" s="522"/>
    </row>
    <row r="136" spans="1:29" ht="36.75" customHeight="1" thickTop="1" thickBot="1" x14ac:dyDescent="0.3">
      <c r="A136" s="425">
        <v>1</v>
      </c>
      <c r="B136" s="505" t="s">
        <v>216</v>
      </c>
      <c r="C136" s="505" t="s">
        <v>216</v>
      </c>
      <c r="D136" s="505" t="s">
        <v>231</v>
      </c>
      <c r="E136" s="505" t="s">
        <v>243</v>
      </c>
      <c r="F136" s="505" t="s">
        <v>307</v>
      </c>
      <c r="G136" s="505" t="s">
        <v>371</v>
      </c>
      <c r="H136" s="505" t="s">
        <v>216</v>
      </c>
      <c r="I136" s="505"/>
      <c r="J136" s="505"/>
      <c r="K136" s="1108" t="s">
        <v>373</v>
      </c>
      <c r="L136" s="1110">
        <f>+'[6]EJECUCION DE INGRESOS A CORTE 3'!D15</f>
        <v>172000000</v>
      </c>
      <c r="M136" s="1110"/>
      <c r="N136" s="1110"/>
      <c r="O136" s="1111">
        <f>+L136+M136-N136</f>
        <v>172000000</v>
      </c>
      <c r="P136" s="1110"/>
      <c r="Q136" s="1110"/>
      <c r="R136" s="1111">
        <f>+O136*S136</f>
        <v>154800000</v>
      </c>
      <c r="S136" s="745">
        <v>0.9</v>
      </c>
      <c r="T136" s="1111">
        <f>+O136*U136</f>
        <v>17200000</v>
      </c>
      <c r="U136" s="745">
        <v>0.1</v>
      </c>
      <c r="V136" s="1110"/>
      <c r="W136" s="1110"/>
      <c r="X136" s="1110"/>
      <c r="Y136" s="1112">
        <v>44062455</v>
      </c>
      <c r="Z136" s="1112">
        <v>142302401</v>
      </c>
      <c r="AA136" s="1069">
        <f t="shared" si="44"/>
        <v>186364856</v>
      </c>
      <c r="AB136" s="1113" t="e">
        <f t="shared" si="59"/>
        <v>#DIV/0!</v>
      </c>
      <c r="AC136" s="729"/>
    </row>
    <row r="137" spans="1:29" ht="22.5" hidden="1" customHeight="1" thickTop="1" thickBot="1" x14ac:dyDescent="0.3">
      <c r="A137" s="425">
        <v>1</v>
      </c>
      <c r="B137" s="505" t="s">
        <v>216</v>
      </c>
      <c r="C137" s="505" t="s">
        <v>216</v>
      </c>
      <c r="D137" s="505" t="s">
        <v>231</v>
      </c>
      <c r="E137" s="505" t="s">
        <v>243</v>
      </c>
      <c r="F137" s="505" t="s">
        <v>307</v>
      </c>
      <c r="G137" s="505" t="s">
        <v>371</v>
      </c>
      <c r="H137" s="505" t="s">
        <v>227</v>
      </c>
      <c r="I137" s="505"/>
      <c r="J137" s="505"/>
      <c r="K137" s="609" t="s">
        <v>374</v>
      </c>
      <c r="L137" s="1110"/>
      <c r="M137" s="1110"/>
      <c r="N137" s="1110"/>
      <c r="O137" s="1110">
        <f>+L137+M137-N137</f>
        <v>0</v>
      </c>
      <c r="P137" s="1110"/>
      <c r="Q137" s="1110"/>
      <c r="R137" s="1110"/>
      <c r="S137" s="1110"/>
      <c r="T137" s="1110"/>
      <c r="U137" s="1110"/>
      <c r="V137" s="1110"/>
      <c r="W137" s="1110"/>
      <c r="X137" s="1110"/>
      <c r="Y137" s="1110"/>
      <c r="Z137" s="1110"/>
      <c r="AA137" s="1069">
        <f t="shared" si="44"/>
        <v>0</v>
      </c>
      <c r="AB137" s="1113" t="e">
        <f t="shared" si="59"/>
        <v>#DIV/0!</v>
      </c>
      <c r="AC137" s="729"/>
    </row>
    <row r="138" spans="1:29" ht="22.5" hidden="1" customHeight="1" thickTop="1" thickBot="1" x14ac:dyDescent="0.3">
      <c r="A138" s="425">
        <v>1</v>
      </c>
      <c r="B138" s="505" t="s">
        <v>216</v>
      </c>
      <c r="C138" s="505" t="s">
        <v>216</v>
      </c>
      <c r="D138" s="505" t="s">
        <v>231</v>
      </c>
      <c r="E138" s="505" t="s">
        <v>243</v>
      </c>
      <c r="F138" s="505" t="s">
        <v>307</v>
      </c>
      <c r="G138" s="505" t="s">
        <v>371</v>
      </c>
      <c r="H138" s="505" t="s">
        <v>229</v>
      </c>
      <c r="I138" s="505"/>
      <c r="J138" s="505"/>
      <c r="K138" s="609" t="s">
        <v>375</v>
      </c>
      <c r="L138" s="1110"/>
      <c r="M138" s="1110"/>
      <c r="N138" s="1110"/>
      <c r="O138" s="1110">
        <f>+L138+M138-N138</f>
        <v>0</v>
      </c>
      <c r="P138" s="1110"/>
      <c r="Q138" s="1110"/>
      <c r="R138" s="1110"/>
      <c r="S138" s="1110"/>
      <c r="T138" s="1110"/>
      <c r="U138" s="1110"/>
      <c r="V138" s="1110"/>
      <c r="W138" s="1110"/>
      <c r="X138" s="1110"/>
      <c r="Y138" s="1110"/>
      <c r="Z138" s="1110"/>
      <c r="AA138" s="1069">
        <f t="shared" si="44"/>
        <v>0</v>
      </c>
      <c r="AB138" s="1113" t="e">
        <f t="shared" si="59"/>
        <v>#DIV/0!</v>
      </c>
      <c r="AC138" s="729"/>
    </row>
    <row r="139" spans="1:29" s="1062" customFormat="1" ht="22.5" hidden="1" customHeight="1" thickTop="1" thickBot="1" x14ac:dyDescent="0.3">
      <c r="A139" s="424">
        <v>1</v>
      </c>
      <c r="B139" s="519" t="s">
        <v>216</v>
      </c>
      <c r="C139" s="519" t="s">
        <v>216</v>
      </c>
      <c r="D139" s="519" t="s">
        <v>231</v>
      </c>
      <c r="E139" s="519" t="s">
        <v>243</v>
      </c>
      <c r="F139" s="519" t="s">
        <v>307</v>
      </c>
      <c r="G139" s="519" t="s">
        <v>376</v>
      </c>
      <c r="H139" s="519"/>
      <c r="I139" s="519"/>
      <c r="J139" s="519"/>
      <c r="K139" s="1105" t="s">
        <v>377</v>
      </c>
      <c r="L139" s="1106">
        <f>SUM(L140:L142)</f>
        <v>0</v>
      </c>
      <c r="M139" s="1106">
        <f t="shared" ref="M139:Z139" si="61">SUM(M140:M142)</f>
        <v>0</v>
      </c>
      <c r="N139" s="1106">
        <f t="shared" si="61"/>
        <v>0</v>
      </c>
      <c r="O139" s="1106">
        <f t="shared" si="61"/>
        <v>0</v>
      </c>
      <c r="P139" s="1106">
        <f t="shared" si="61"/>
        <v>0</v>
      </c>
      <c r="Q139" s="1106"/>
      <c r="R139" s="1106">
        <f t="shared" si="61"/>
        <v>0</v>
      </c>
      <c r="S139" s="1106"/>
      <c r="T139" s="1106">
        <f t="shared" si="61"/>
        <v>0</v>
      </c>
      <c r="U139" s="1106"/>
      <c r="V139" s="1106">
        <f t="shared" si="61"/>
        <v>0</v>
      </c>
      <c r="W139" s="1106"/>
      <c r="X139" s="1106">
        <f t="shared" si="61"/>
        <v>0</v>
      </c>
      <c r="Y139" s="1106">
        <f t="shared" si="61"/>
        <v>0</v>
      </c>
      <c r="Z139" s="1106">
        <f t="shared" si="61"/>
        <v>0</v>
      </c>
      <c r="AA139" s="1069">
        <f t="shared" si="44"/>
        <v>0</v>
      </c>
      <c r="AB139" s="1107" t="e">
        <f t="shared" si="59"/>
        <v>#DIV/0!</v>
      </c>
      <c r="AC139" s="522"/>
    </row>
    <row r="140" spans="1:29" ht="22.5" hidden="1" customHeight="1" thickTop="1" thickBot="1" x14ac:dyDescent="0.3">
      <c r="A140" s="425">
        <v>1</v>
      </c>
      <c r="B140" s="505" t="s">
        <v>216</v>
      </c>
      <c r="C140" s="505" t="s">
        <v>216</v>
      </c>
      <c r="D140" s="505" t="s">
        <v>231</v>
      </c>
      <c r="E140" s="505" t="s">
        <v>243</v>
      </c>
      <c r="F140" s="505" t="s">
        <v>307</v>
      </c>
      <c r="G140" s="505" t="s">
        <v>376</v>
      </c>
      <c r="H140" s="505" t="s">
        <v>216</v>
      </c>
      <c r="I140" s="505"/>
      <c r="J140" s="505"/>
      <c r="K140" s="609" t="s">
        <v>378</v>
      </c>
      <c r="L140" s="1110"/>
      <c r="M140" s="1110"/>
      <c r="N140" s="1110"/>
      <c r="O140" s="1110">
        <f>+L140+M140-N140</f>
        <v>0</v>
      </c>
      <c r="P140" s="1110">
        <f>+O140</f>
        <v>0</v>
      </c>
      <c r="Q140" s="1110"/>
      <c r="R140" s="1110">
        <v>0</v>
      </c>
      <c r="S140" s="1110"/>
      <c r="T140" s="1110"/>
      <c r="U140" s="1110"/>
      <c r="V140" s="1110"/>
      <c r="W140" s="1110"/>
      <c r="X140" s="1110"/>
      <c r="Y140" s="1110"/>
      <c r="Z140" s="1110"/>
      <c r="AA140" s="1069">
        <f t="shared" si="44"/>
        <v>0</v>
      </c>
      <c r="AB140" s="1113" t="e">
        <f t="shared" si="59"/>
        <v>#DIV/0!</v>
      </c>
      <c r="AC140" s="729"/>
    </row>
    <row r="141" spans="1:29" ht="22.5" hidden="1" customHeight="1" thickTop="1" thickBot="1" x14ac:dyDescent="0.3">
      <c r="A141" s="425">
        <v>1</v>
      </c>
      <c r="B141" s="505" t="s">
        <v>216</v>
      </c>
      <c r="C141" s="505" t="s">
        <v>216</v>
      </c>
      <c r="D141" s="505" t="s">
        <v>231</v>
      </c>
      <c r="E141" s="505" t="s">
        <v>243</v>
      </c>
      <c r="F141" s="505" t="s">
        <v>307</v>
      </c>
      <c r="G141" s="505" t="s">
        <v>376</v>
      </c>
      <c r="H141" s="505" t="s">
        <v>227</v>
      </c>
      <c r="I141" s="505"/>
      <c r="J141" s="505"/>
      <c r="K141" s="609" t="s">
        <v>379</v>
      </c>
      <c r="L141" s="1110"/>
      <c r="M141" s="1110"/>
      <c r="N141" s="1110"/>
      <c r="O141" s="1110">
        <f>+L141+M141-N141</f>
        <v>0</v>
      </c>
      <c r="P141" s="1110"/>
      <c r="Q141" s="1110"/>
      <c r="R141" s="1110"/>
      <c r="S141" s="1110"/>
      <c r="T141" s="1110"/>
      <c r="U141" s="1110"/>
      <c r="V141" s="1110"/>
      <c r="W141" s="1110"/>
      <c r="X141" s="1110"/>
      <c r="Y141" s="1110"/>
      <c r="Z141" s="1110"/>
      <c r="AA141" s="1069">
        <f t="shared" si="44"/>
        <v>0</v>
      </c>
      <c r="AB141" s="1113" t="e">
        <f t="shared" si="59"/>
        <v>#DIV/0!</v>
      </c>
      <c r="AC141" s="729"/>
    </row>
    <row r="142" spans="1:29" ht="22.5" hidden="1" customHeight="1" thickTop="1" thickBot="1" x14ac:dyDescent="0.3">
      <c r="A142" s="425">
        <v>1</v>
      </c>
      <c r="B142" s="505" t="s">
        <v>216</v>
      </c>
      <c r="C142" s="505" t="s">
        <v>216</v>
      </c>
      <c r="D142" s="505" t="s">
        <v>231</v>
      </c>
      <c r="E142" s="505" t="s">
        <v>243</v>
      </c>
      <c r="F142" s="505" t="s">
        <v>307</v>
      </c>
      <c r="G142" s="505" t="s">
        <v>376</v>
      </c>
      <c r="H142" s="505" t="s">
        <v>229</v>
      </c>
      <c r="I142" s="505"/>
      <c r="J142" s="505"/>
      <c r="K142" s="609" t="s">
        <v>380</v>
      </c>
      <c r="L142" s="1110"/>
      <c r="M142" s="1110"/>
      <c r="N142" s="1110"/>
      <c r="O142" s="1110">
        <f>+L142+M142-N142</f>
        <v>0</v>
      </c>
      <c r="P142" s="1110"/>
      <c r="Q142" s="1110"/>
      <c r="R142" s="1110"/>
      <c r="S142" s="1110"/>
      <c r="T142" s="1110"/>
      <c r="U142" s="1110"/>
      <c r="V142" s="1110"/>
      <c r="W142" s="1110"/>
      <c r="X142" s="1110"/>
      <c r="Y142" s="1110"/>
      <c r="Z142" s="1110"/>
      <c r="AA142" s="1069">
        <f t="shared" si="44"/>
        <v>0</v>
      </c>
      <c r="AB142" s="1113" t="e">
        <f t="shared" si="59"/>
        <v>#DIV/0!</v>
      </c>
      <c r="AC142" s="729"/>
    </row>
    <row r="143" spans="1:29" s="1062" customFormat="1" ht="22.5" hidden="1" customHeight="1" thickTop="1" thickBot="1" x14ac:dyDescent="0.3">
      <c r="A143" s="424">
        <v>1</v>
      </c>
      <c r="B143" s="519" t="s">
        <v>216</v>
      </c>
      <c r="C143" s="519" t="s">
        <v>216</v>
      </c>
      <c r="D143" s="519" t="s">
        <v>231</v>
      </c>
      <c r="E143" s="519" t="s">
        <v>243</v>
      </c>
      <c r="F143" s="519" t="s">
        <v>307</v>
      </c>
      <c r="G143" s="519" t="s">
        <v>381</v>
      </c>
      <c r="H143" s="519"/>
      <c r="I143" s="519"/>
      <c r="J143" s="519"/>
      <c r="K143" s="1105" t="s">
        <v>382</v>
      </c>
      <c r="L143" s="1106">
        <f>SUM(L144:L146)</f>
        <v>0</v>
      </c>
      <c r="M143" s="1106">
        <f t="shared" ref="M143:Z143" si="62">SUM(M144:M146)</f>
        <v>0</v>
      </c>
      <c r="N143" s="1106">
        <f t="shared" si="62"/>
        <v>0</v>
      </c>
      <c r="O143" s="1106">
        <f t="shared" si="62"/>
        <v>0</v>
      </c>
      <c r="P143" s="1106">
        <f t="shared" si="62"/>
        <v>0</v>
      </c>
      <c r="Q143" s="1106"/>
      <c r="R143" s="1106">
        <f t="shared" si="62"/>
        <v>0</v>
      </c>
      <c r="S143" s="1106"/>
      <c r="T143" s="1106">
        <f t="shared" si="62"/>
        <v>0</v>
      </c>
      <c r="U143" s="1106"/>
      <c r="V143" s="1106">
        <f t="shared" si="62"/>
        <v>0</v>
      </c>
      <c r="W143" s="1106"/>
      <c r="X143" s="1106">
        <f t="shared" si="62"/>
        <v>0</v>
      </c>
      <c r="Y143" s="1106">
        <f t="shared" si="62"/>
        <v>0</v>
      </c>
      <c r="Z143" s="1106">
        <f t="shared" si="62"/>
        <v>0</v>
      </c>
      <c r="AA143" s="1069">
        <f t="shared" si="44"/>
        <v>0</v>
      </c>
      <c r="AB143" s="1107" t="e">
        <f t="shared" si="59"/>
        <v>#DIV/0!</v>
      </c>
      <c r="AC143" s="522"/>
    </row>
    <row r="144" spans="1:29" ht="22.5" hidden="1" customHeight="1" thickTop="1" thickBot="1" x14ac:dyDescent="0.3">
      <c r="A144" s="425">
        <v>1</v>
      </c>
      <c r="B144" s="505" t="s">
        <v>216</v>
      </c>
      <c r="C144" s="505" t="s">
        <v>216</v>
      </c>
      <c r="D144" s="505" t="s">
        <v>231</v>
      </c>
      <c r="E144" s="505" t="s">
        <v>243</v>
      </c>
      <c r="F144" s="505" t="s">
        <v>307</v>
      </c>
      <c r="G144" s="505" t="s">
        <v>381</v>
      </c>
      <c r="H144" s="505" t="s">
        <v>216</v>
      </c>
      <c r="I144" s="505"/>
      <c r="J144" s="505"/>
      <c r="K144" s="609" t="s">
        <v>383</v>
      </c>
      <c r="L144" s="1110"/>
      <c r="M144" s="1110"/>
      <c r="N144" s="1110"/>
      <c r="O144" s="1110">
        <f>+L144+M144-N144</f>
        <v>0</v>
      </c>
      <c r="P144" s="1110"/>
      <c r="Q144" s="1110"/>
      <c r="R144" s="1110"/>
      <c r="S144" s="1110"/>
      <c r="T144" s="1110"/>
      <c r="U144" s="1110"/>
      <c r="V144" s="1110"/>
      <c r="W144" s="1110"/>
      <c r="X144" s="1110"/>
      <c r="Y144" s="1110"/>
      <c r="Z144" s="1110"/>
      <c r="AA144" s="1069">
        <f t="shared" si="44"/>
        <v>0</v>
      </c>
      <c r="AB144" s="1113" t="e">
        <f t="shared" si="59"/>
        <v>#DIV/0!</v>
      </c>
      <c r="AC144" s="729"/>
    </row>
    <row r="145" spans="1:29" ht="22.5" hidden="1" customHeight="1" thickTop="1" thickBot="1" x14ac:dyDescent="0.3">
      <c r="A145" s="425">
        <v>1</v>
      </c>
      <c r="B145" s="505" t="s">
        <v>216</v>
      </c>
      <c r="C145" s="505" t="s">
        <v>216</v>
      </c>
      <c r="D145" s="505" t="s">
        <v>231</v>
      </c>
      <c r="E145" s="505" t="s">
        <v>243</v>
      </c>
      <c r="F145" s="505" t="s">
        <v>307</v>
      </c>
      <c r="G145" s="505" t="s">
        <v>381</v>
      </c>
      <c r="H145" s="505" t="s">
        <v>227</v>
      </c>
      <c r="I145" s="505"/>
      <c r="J145" s="505"/>
      <c r="K145" s="609" t="s">
        <v>384</v>
      </c>
      <c r="L145" s="1110"/>
      <c r="M145" s="1110"/>
      <c r="N145" s="1110"/>
      <c r="O145" s="1110">
        <f>+L145+M145-N145</f>
        <v>0</v>
      </c>
      <c r="P145" s="1110"/>
      <c r="Q145" s="1110"/>
      <c r="R145" s="1110"/>
      <c r="S145" s="1110"/>
      <c r="T145" s="1110"/>
      <c r="U145" s="1110"/>
      <c r="V145" s="1110"/>
      <c r="W145" s="1110"/>
      <c r="X145" s="1110"/>
      <c r="Y145" s="1110"/>
      <c r="Z145" s="1110"/>
      <c r="AA145" s="1069">
        <f t="shared" si="44"/>
        <v>0</v>
      </c>
      <c r="AB145" s="1113" t="e">
        <f t="shared" si="59"/>
        <v>#DIV/0!</v>
      </c>
      <c r="AC145" s="729"/>
    </row>
    <row r="146" spans="1:29" ht="22.5" hidden="1" customHeight="1" thickTop="1" thickBot="1" x14ac:dyDescent="0.3">
      <c r="A146" s="425">
        <v>1</v>
      </c>
      <c r="B146" s="505" t="s">
        <v>216</v>
      </c>
      <c r="C146" s="505" t="s">
        <v>216</v>
      </c>
      <c r="D146" s="505" t="s">
        <v>231</v>
      </c>
      <c r="E146" s="505" t="s">
        <v>243</v>
      </c>
      <c r="F146" s="505" t="s">
        <v>307</v>
      </c>
      <c r="G146" s="505" t="s">
        <v>381</v>
      </c>
      <c r="H146" s="505" t="s">
        <v>229</v>
      </c>
      <c r="I146" s="505"/>
      <c r="J146" s="505"/>
      <c r="K146" s="609" t="s">
        <v>385</v>
      </c>
      <c r="L146" s="1110"/>
      <c r="M146" s="1110"/>
      <c r="N146" s="1110"/>
      <c r="O146" s="1110">
        <f>+L146+M146-N146</f>
        <v>0</v>
      </c>
      <c r="P146" s="1110"/>
      <c r="Q146" s="1110"/>
      <c r="R146" s="1110"/>
      <c r="S146" s="1110"/>
      <c r="T146" s="1110"/>
      <c r="U146" s="1110"/>
      <c r="V146" s="1110"/>
      <c r="W146" s="1110"/>
      <c r="X146" s="1110"/>
      <c r="Y146" s="1110"/>
      <c r="Z146" s="1110"/>
      <c r="AA146" s="1069">
        <f t="shared" si="44"/>
        <v>0</v>
      </c>
      <c r="AB146" s="1113" t="e">
        <f t="shared" si="59"/>
        <v>#DIV/0!</v>
      </c>
      <c r="AC146" s="729"/>
    </row>
    <row r="147" spans="1:29" s="1128" customFormat="1" ht="22.5" hidden="1" customHeight="1" thickTop="1" thickBot="1" x14ac:dyDescent="0.3">
      <c r="A147" s="1121">
        <v>1</v>
      </c>
      <c r="B147" s="1122" t="s">
        <v>216</v>
      </c>
      <c r="C147" s="1122" t="s">
        <v>216</v>
      </c>
      <c r="D147" s="1122" t="s">
        <v>231</v>
      </c>
      <c r="E147" s="1122" t="s">
        <v>243</v>
      </c>
      <c r="F147" s="1122" t="s">
        <v>332</v>
      </c>
      <c r="G147" s="1122"/>
      <c r="H147" s="1122"/>
      <c r="I147" s="1122"/>
      <c r="J147" s="1122"/>
      <c r="K147" s="1124" t="s">
        <v>386</v>
      </c>
      <c r="L147" s="1125">
        <f>+L148+L151+L155+L159+L163+L167+L171+L175+L179+L183</f>
        <v>0</v>
      </c>
      <c r="M147" s="1125">
        <f t="shared" ref="M147:Z147" si="63">+M148+M151+M155+M159+M163+M167+M171+M175+M179+M183</f>
        <v>0</v>
      </c>
      <c r="N147" s="1125">
        <f t="shared" si="63"/>
        <v>0</v>
      </c>
      <c r="O147" s="1125">
        <f t="shared" si="63"/>
        <v>0</v>
      </c>
      <c r="P147" s="1125">
        <f t="shared" si="63"/>
        <v>0</v>
      </c>
      <c r="Q147" s="1125"/>
      <c r="R147" s="1125">
        <f t="shared" si="63"/>
        <v>0</v>
      </c>
      <c r="S147" s="1125"/>
      <c r="T147" s="1125">
        <f t="shared" si="63"/>
        <v>0</v>
      </c>
      <c r="U147" s="1125"/>
      <c r="V147" s="1125">
        <f t="shared" si="63"/>
        <v>0</v>
      </c>
      <c r="W147" s="1125"/>
      <c r="X147" s="1125">
        <f t="shared" si="63"/>
        <v>0</v>
      </c>
      <c r="Y147" s="1125">
        <f t="shared" si="63"/>
        <v>0</v>
      </c>
      <c r="Z147" s="1125">
        <f t="shared" si="63"/>
        <v>0</v>
      </c>
      <c r="AA147" s="1069">
        <f t="shared" si="44"/>
        <v>0</v>
      </c>
      <c r="AB147" s="1126" t="e">
        <f t="shared" si="59"/>
        <v>#DIV/0!</v>
      </c>
      <c r="AC147" s="1127"/>
    </row>
    <row r="148" spans="1:29" s="1062" customFormat="1" ht="22.5" hidden="1" customHeight="1" thickTop="1" thickBot="1" x14ac:dyDescent="0.3">
      <c r="A148" s="424">
        <v>1</v>
      </c>
      <c r="B148" s="519" t="s">
        <v>216</v>
      </c>
      <c r="C148" s="519" t="s">
        <v>216</v>
      </c>
      <c r="D148" s="519" t="s">
        <v>231</v>
      </c>
      <c r="E148" s="519" t="s">
        <v>243</v>
      </c>
      <c r="F148" s="519" t="s">
        <v>332</v>
      </c>
      <c r="G148" s="519" t="s">
        <v>336</v>
      </c>
      <c r="H148" s="519"/>
      <c r="I148" s="519"/>
      <c r="J148" s="519"/>
      <c r="K148" s="1105" t="s">
        <v>337</v>
      </c>
      <c r="L148" s="1106">
        <f>SUM(L149:L150)</f>
        <v>0</v>
      </c>
      <c r="M148" s="1106">
        <f t="shared" ref="M148:Z148" si="64">SUM(M149:M150)</f>
        <v>0</v>
      </c>
      <c r="N148" s="1106">
        <f t="shared" si="64"/>
        <v>0</v>
      </c>
      <c r="O148" s="1106">
        <f t="shared" si="64"/>
        <v>0</v>
      </c>
      <c r="P148" s="1106">
        <f t="shared" si="64"/>
        <v>0</v>
      </c>
      <c r="Q148" s="1106"/>
      <c r="R148" s="1106">
        <f t="shared" si="64"/>
        <v>0</v>
      </c>
      <c r="S148" s="1106"/>
      <c r="T148" s="1106">
        <f t="shared" si="64"/>
        <v>0</v>
      </c>
      <c r="U148" s="1106"/>
      <c r="V148" s="1106">
        <f t="shared" si="64"/>
        <v>0</v>
      </c>
      <c r="W148" s="1106"/>
      <c r="X148" s="1106">
        <f t="shared" si="64"/>
        <v>0</v>
      </c>
      <c r="Y148" s="1106">
        <f t="shared" si="64"/>
        <v>0</v>
      </c>
      <c r="Z148" s="1106">
        <f t="shared" si="64"/>
        <v>0</v>
      </c>
      <c r="AA148" s="1069">
        <f t="shared" si="44"/>
        <v>0</v>
      </c>
      <c r="AB148" s="1107" t="e">
        <f t="shared" si="59"/>
        <v>#DIV/0!</v>
      </c>
      <c r="AC148" s="522"/>
    </row>
    <row r="149" spans="1:29" ht="22.5" hidden="1" customHeight="1" thickTop="1" thickBot="1" x14ac:dyDescent="0.3">
      <c r="A149" s="425">
        <v>1</v>
      </c>
      <c r="B149" s="505" t="s">
        <v>216</v>
      </c>
      <c r="C149" s="505" t="s">
        <v>216</v>
      </c>
      <c r="D149" s="505" t="s">
        <v>231</v>
      </c>
      <c r="E149" s="505" t="s">
        <v>243</v>
      </c>
      <c r="F149" s="505" t="s">
        <v>332</v>
      </c>
      <c r="G149" s="505" t="s">
        <v>336</v>
      </c>
      <c r="H149" s="505" t="s">
        <v>216</v>
      </c>
      <c r="I149" s="505"/>
      <c r="J149" s="505"/>
      <c r="K149" s="609" t="s">
        <v>338</v>
      </c>
      <c r="L149" s="1110"/>
      <c r="M149" s="1110"/>
      <c r="N149" s="1110"/>
      <c r="O149" s="1110">
        <f>+L149+M149-N149</f>
        <v>0</v>
      </c>
      <c r="P149" s="1110"/>
      <c r="Q149" s="1110"/>
      <c r="R149" s="1110"/>
      <c r="S149" s="1110"/>
      <c r="T149" s="1110"/>
      <c r="U149" s="1110"/>
      <c r="V149" s="1110"/>
      <c r="W149" s="1110"/>
      <c r="X149" s="1110"/>
      <c r="Y149" s="1110"/>
      <c r="Z149" s="1110"/>
      <c r="AA149" s="1069">
        <f t="shared" si="44"/>
        <v>0</v>
      </c>
      <c r="AB149" s="1113" t="e">
        <f t="shared" si="59"/>
        <v>#DIV/0!</v>
      </c>
      <c r="AC149" s="729"/>
    </row>
    <row r="150" spans="1:29" ht="5.25" hidden="1" customHeight="1" thickTop="1" thickBot="1" x14ac:dyDescent="0.3">
      <c r="A150" s="425">
        <v>1</v>
      </c>
      <c r="B150" s="505" t="s">
        <v>216</v>
      </c>
      <c r="C150" s="505" t="s">
        <v>216</v>
      </c>
      <c r="D150" s="505" t="s">
        <v>231</v>
      </c>
      <c r="E150" s="505" t="s">
        <v>243</v>
      </c>
      <c r="F150" s="505" t="s">
        <v>332</v>
      </c>
      <c r="G150" s="505" t="s">
        <v>336</v>
      </c>
      <c r="H150" s="505" t="s">
        <v>227</v>
      </c>
      <c r="I150" s="505"/>
      <c r="J150" s="505"/>
      <c r="K150" s="609" t="s">
        <v>387</v>
      </c>
      <c r="L150" s="1110"/>
      <c r="M150" s="1110"/>
      <c r="N150" s="1110"/>
      <c r="O150" s="1110">
        <f>+L150+M150-N150</f>
        <v>0</v>
      </c>
      <c r="P150" s="1110"/>
      <c r="Q150" s="1110"/>
      <c r="R150" s="1110"/>
      <c r="S150" s="1110"/>
      <c r="T150" s="1110"/>
      <c r="U150" s="1110"/>
      <c r="V150" s="1110"/>
      <c r="W150" s="1110"/>
      <c r="X150" s="1110"/>
      <c r="Y150" s="1110"/>
      <c r="Z150" s="1110"/>
      <c r="AA150" s="1069">
        <f t="shared" si="44"/>
        <v>0</v>
      </c>
      <c r="AB150" s="1113" t="e">
        <f t="shared" si="59"/>
        <v>#DIV/0!</v>
      </c>
      <c r="AC150" s="729"/>
    </row>
    <row r="151" spans="1:29" s="1062" customFormat="1" ht="22.5" hidden="1" customHeight="1" thickTop="1" thickBot="1" x14ac:dyDescent="0.3">
      <c r="A151" s="424">
        <v>1</v>
      </c>
      <c r="B151" s="519" t="s">
        <v>216</v>
      </c>
      <c r="C151" s="519" t="s">
        <v>216</v>
      </c>
      <c r="D151" s="519" t="s">
        <v>231</v>
      </c>
      <c r="E151" s="519" t="s">
        <v>243</v>
      </c>
      <c r="F151" s="519" t="s">
        <v>332</v>
      </c>
      <c r="G151" s="519" t="s">
        <v>220</v>
      </c>
      <c r="H151" s="519"/>
      <c r="I151" s="519"/>
      <c r="J151" s="519"/>
      <c r="K151" s="1105" t="s">
        <v>341</v>
      </c>
      <c r="L151" s="1106">
        <f>SUM(L152:L154)</f>
        <v>0</v>
      </c>
      <c r="M151" s="1106">
        <f t="shared" ref="M151:Z151" si="65">SUM(M152:M154)</f>
        <v>0</v>
      </c>
      <c r="N151" s="1106">
        <f t="shared" si="65"/>
        <v>0</v>
      </c>
      <c r="O151" s="1106">
        <f t="shared" si="65"/>
        <v>0</v>
      </c>
      <c r="P151" s="1106">
        <f t="shared" si="65"/>
        <v>0</v>
      </c>
      <c r="Q151" s="1106"/>
      <c r="R151" s="1106">
        <f t="shared" si="65"/>
        <v>0</v>
      </c>
      <c r="S151" s="1106"/>
      <c r="T151" s="1106">
        <f t="shared" si="65"/>
        <v>0</v>
      </c>
      <c r="U151" s="1106"/>
      <c r="V151" s="1106">
        <f t="shared" si="65"/>
        <v>0</v>
      </c>
      <c r="W151" s="1106"/>
      <c r="X151" s="1106">
        <f t="shared" si="65"/>
        <v>0</v>
      </c>
      <c r="Y151" s="1106">
        <f t="shared" si="65"/>
        <v>0</v>
      </c>
      <c r="Z151" s="1106">
        <f t="shared" si="65"/>
        <v>0</v>
      </c>
      <c r="AA151" s="1069">
        <f t="shared" si="44"/>
        <v>0</v>
      </c>
      <c r="AB151" s="1107" t="e">
        <f t="shared" si="59"/>
        <v>#DIV/0!</v>
      </c>
      <c r="AC151" s="522"/>
    </row>
    <row r="152" spans="1:29" ht="22.5" hidden="1" customHeight="1" thickTop="1" thickBot="1" x14ac:dyDescent="0.3">
      <c r="A152" s="425">
        <v>1</v>
      </c>
      <c r="B152" s="505" t="s">
        <v>216</v>
      </c>
      <c r="C152" s="505" t="s">
        <v>216</v>
      </c>
      <c r="D152" s="505" t="s">
        <v>231</v>
      </c>
      <c r="E152" s="505" t="s">
        <v>243</v>
      </c>
      <c r="F152" s="505" t="s">
        <v>332</v>
      </c>
      <c r="G152" s="505" t="s">
        <v>220</v>
      </c>
      <c r="H152" s="505" t="s">
        <v>216</v>
      </c>
      <c r="I152" s="505"/>
      <c r="J152" s="505"/>
      <c r="K152" s="609" t="s">
        <v>342</v>
      </c>
      <c r="L152" s="1110"/>
      <c r="M152" s="1110"/>
      <c r="N152" s="1110"/>
      <c r="O152" s="1110">
        <f>+L152+M152-N152</f>
        <v>0</v>
      </c>
      <c r="P152" s="1110"/>
      <c r="Q152" s="1110"/>
      <c r="R152" s="1110"/>
      <c r="S152" s="1110"/>
      <c r="T152" s="1110"/>
      <c r="U152" s="1110"/>
      <c r="V152" s="1110"/>
      <c r="W152" s="1110"/>
      <c r="X152" s="1110"/>
      <c r="Y152" s="1110"/>
      <c r="Z152" s="1110"/>
      <c r="AA152" s="1069">
        <f t="shared" si="44"/>
        <v>0</v>
      </c>
      <c r="AB152" s="1113" t="e">
        <f t="shared" si="59"/>
        <v>#DIV/0!</v>
      </c>
      <c r="AC152" s="729"/>
    </row>
    <row r="153" spans="1:29" ht="22.5" hidden="1" customHeight="1" thickTop="1" thickBot="1" x14ac:dyDescent="0.3">
      <c r="A153" s="425">
        <v>1</v>
      </c>
      <c r="B153" s="505" t="s">
        <v>216</v>
      </c>
      <c r="C153" s="505" t="s">
        <v>216</v>
      </c>
      <c r="D153" s="505" t="s">
        <v>231</v>
      </c>
      <c r="E153" s="505" t="s">
        <v>243</v>
      </c>
      <c r="F153" s="505" t="s">
        <v>332</v>
      </c>
      <c r="G153" s="505" t="s">
        <v>220</v>
      </c>
      <c r="H153" s="505" t="s">
        <v>227</v>
      </c>
      <c r="I153" s="505"/>
      <c r="J153" s="505"/>
      <c r="K153" s="609" t="s">
        <v>343</v>
      </c>
      <c r="L153" s="1110"/>
      <c r="M153" s="1110"/>
      <c r="N153" s="1110"/>
      <c r="O153" s="1110">
        <f>+L153+M153-N153</f>
        <v>0</v>
      </c>
      <c r="P153" s="1110"/>
      <c r="Q153" s="1110"/>
      <c r="R153" s="1110"/>
      <c r="S153" s="1110"/>
      <c r="T153" s="1110"/>
      <c r="U153" s="1110"/>
      <c r="V153" s="1110"/>
      <c r="W153" s="1110"/>
      <c r="X153" s="1110"/>
      <c r="Y153" s="1110"/>
      <c r="Z153" s="1110"/>
      <c r="AA153" s="1069">
        <f t="shared" si="44"/>
        <v>0</v>
      </c>
      <c r="AB153" s="1113" t="e">
        <f t="shared" si="59"/>
        <v>#DIV/0!</v>
      </c>
      <c r="AC153" s="729"/>
    </row>
    <row r="154" spans="1:29" ht="22.5" hidden="1" customHeight="1" thickTop="1" thickBot="1" x14ac:dyDescent="0.3">
      <c r="A154" s="425">
        <v>1</v>
      </c>
      <c r="B154" s="505" t="s">
        <v>216</v>
      </c>
      <c r="C154" s="505" t="s">
        <v>216</v>
      </c>
      <c r="D154" s="505" t="s">
        <v>231</v>
      </c>
      <c r="E154" s="505" t="s">
        <v>243</v>
      </c>
      <c r="F154" s="505" t="s">
        <v>332</v>
      </c>
      <c r="G154" s="505" t="s">
        <v>220</v>
      </c>
      <c r="H154" s="505" t="s">
        <v>229</v>
      </c>
      <c r="I154" s="505"/>
      <c r="J154" s="505"/>
      <c r="K154" s="609" t="s">
        <v>344</v>
      </c>
      <c r="L154" s="1110"/>
      <c r="M154" s="1110"/>
      <c r="N154" s="1110"/>
      <c r="O154" s="1110">
        <f>+L154+M154-N154</f>
        <v>0</v>
      </c>
      <c r="P154" s="1110"/>
      <c r="Q154" s="1110"/>
      <c r="R154" s="1110"/>
      <c r="S154" s="1110"/>
      <c r="T154" s="1110"/>
      <c r="U154" s="1110"/>
      <c r="V154" s="1110"/>
      <c r="W154" s="1110"/>
      <c r="X154" s="1110"/>
      <c r="Y154" s="1110"/>
      <c r="Z154" s="1110"/>
      <c r="AA154" s="1069">
        <f t="shared" ref="AA154:AA217" si="66">+Y154+Z154</f>
        <v>0</v>
      </c>
      <c r="AB154" s="1113" t="e">
        <f t="shared" si="59"/>
        <v>#DIV/0!</v>
      </c>
      <c r="AC154" s="729"/>
    </row>
    <row r="155" spans="1:29" s="1062" customFormat="1" ht="33.75" hidden="1" customHeight="1" thickTop="1" thickBot="1" x14ac:dyDescent="0.3">
      <c r="A155" s="424">
        <v>1</v>
      </c>
      <c r="B155" s="519" t="s">
        <v>216</v>
      </c>
      <c r="C155" s="519" t="s">
        <v>216</v>
      </c>
      <c r="D155" s="519" t="s">
        <v>231</v>
      </c>
      <c r="E155" s="519" t="s">
        <v>243</v>
      </c>
      <c r="F155" s="519" t="s">
        <v>332</v>
      </c>
      <c r="G155" s="519" t="s">
        <v>231</v>
      </c>
      <c r="H155" s="519"/>
      <c r="I155" s="519"/>
      <c r="J155" s="519"/>
      <c r="K155" s="1105" t="s">
        <v>345</v>
      </c>
      <c r="L155" s="1106">
        <f>SUM(L156:L158)</f>
        <v>0</v>
      </c>
      <c r="M155" s="1106">
        <f t="shared" ref="M155:Z155" si="67">SUM(M156:M158)</f>
        <v>0</v>
      </c>
      <c r="N155" s="1106">
        <f t="shared" si="67"/>
        <v>0</v>
      </c>
      <c r="O155" s="1106">
        <f t="shared" si="67"/>
        <v>0</v>
      </c>
      <c r="P155" s="1106">
        <f t="shared" si="67"/>
        <v>0</v>
      </c>
      <c r="Q155" s="1106"/>
      <c r="R155" s="1106">
        <f t="shared" si="67"/>
        <v>0</v>
      </c>
      <c r="S155" s="1106"/>
      <c r="T155" s="1106">
        <f t="shared" si="67"/>
        <v>0</v>
      </c>
      <c r="U155" s="1106"/>
      <c r="V155" s="1106">
        <f t="shared" si="67"/>
        <v>0</v>
      </c>
      <c r="W155" s="1106"/>
      <c r="X155" s="1106">
        <f t="shared" si="67"/>
        <v>0</v>
      </c>
      <c r="Y155" s="1106">
        <f t="shared" si="67"/>
        <v>0</v>
      </c>
      <c r="Z155" s="1106">
        <f t="shared" si="67"/>
        <v>0</v>
      </c>
      <c r="AA155" s="1069">
        <f t="shared" si="66"/>
        <v>0</v>
      </c>
      <c r="AB155" s="1107" t="e">
        <f t="shared" si="59"/>
        <v>#DIV/0!</v>
      </c>
      <c r="AC155" s="522"/>
    </row>
    <row r="156" spans="1:29" ht="30.75" hidden="1" customHeight="1" thickTop="1" thickBot="1" x14ac:dyDescent="0.3">
      <c r="A156" s="425">
        <v>1</v>
      </c>
      <c r="B156" s="505" t="s">
        <v>216</v>
      </c>
      <c r="C156" s="505" t="s">
        <v>216</v>
      </c>
      <c r="D156" s="505" t="s">
        <v>231</v>
      </c>
      <c r="E156" s="505" t="s">
        <v>243</v>
      </c>
      <c r="F156" s="505" t="s">
        <v>332</v>
      </c>
      <c r="G156" s="505" t="s">
        <v>231</v>
      </c>
      <c r="H156" s="505" t="s">
        <v>216</v>
      </c>
      <c r="I156" s="505"/>
      <c r="J156" s="505"/>
      <c r="K156" s="609" t="s">
        <v>346</v>
      </c>
      <c r="L156" s="1110"/>
      <c r="M156" s="1110"/>
      <c r="N156" s="1110"/>
      <c r="O156" s="1110">
        <f>+L156+M156-N156</f>
        <v>0</v>
      </c>
      <c r="P156" s="1110"/>
      <c r="Q156" s="1110"/>
      <c r="R156" s="1110"/>
      <c r="S156" s="1110"/>
      <c r="T156" s="1110"/>
      <c r="U156" s="1110"/>
      <c r="V156" s="1110"/>
      <c r="W156" s="1110"/>
      <c r="X156" s="1110"/>
      <c r="Y156" s="1110"/>
      <c r="Z156" s="1110"/>
      <c r="AA156" s="1069">
        <f t="shared" si="66"/>
        <v>0</v>
      </c>
      <c r="AB156" s="1113" t="e">
        <f t="shared" si="59"/>
        <v>#DIV/0!</v>
      </c>
      <c r="AC156" s="729"/>
    </row>
    <row r="157" spans="1:29" ht="31.5" hidden="1" customHeight="1" thickTop="1" thickBot="1" x14ac:dyDescent="0.3">
      <c r="A157" s="425">
        <v>1</v>
      </c>
      <c r="B157" s="505" t="s">
        <v>216</v>
      </c>
      <c r="C157" s="505" t="s">
        <v>216</v>
      </c>
      <c r="D157" s="505" t="s">
        <v>231</v>
      </c>
      <c r="E157" s="505" t="s">
        <v>243</v>
      </c>
      <c r="F157" s="505" t="s">
        <v>332</v>
      </c>
      <c r="G157" s="505" t="s">
        <v>231</v>
      </c>
      <c r="H157" s="505" t="s">
        <v>227</v>
      </c>
      <c r="I157" s="505"/>
      <c r="J157" s="505"/>
      <c r="K157" s="609" t="s">
        <v>347</v>
      </c>
      <c r="L157" s="1110"/>
      <c r="M157" s="1110"/>
      <c r="N157" s="1110"/>
      <c r="O157" s="1110">
        <f>+L157+M157-N157</f>
        <v>0</v>
      </c>
      <c r="P157" s="1110"/>
      <c r="Q157" s="1110"/>
      <c r="R157" s="1110"/>
      <c r="S157" s="1110"/>
      <c r="T157" s="1110"/>
      <c r="U157" s="1110"/>
      <c r="V157" s="1110"/>
      <c r="W157" s="1110"/>
      <c r="X157" s="1110"/>
      <c r="Y157" s="1110"/>
      <c r="Z157" s="1110"/>
      <c r="AA157" s="1069">
        <f t="shared" si="66"/>
        <v>0</v>
      </c>
      <c r="AB157" s="1113" t="e">
        <f t="shared" si="59"/>
        <v>#DIV/0!</v>
      </c>
      <c r="AC157" s="729"/>
    </row>
    <row r="158" spans="1:29" ht="30" hidden="1" customHeight="1" thickTop="1" thickBot="1" x14ac:dyDescent="0.3">
      <c r="A158" s="425">
        <v>1</v>
      </c>
      <c r="B158" s="505" t="s">
        <v>216</v>
      </c>
      <c r="C158" s="505" t="s">
        <v>216</v>
      </c>
      <c r="D158" s="505" t="s">
        <v>231</v>
      </c>
      <c r="E158" s="505" t="s">
        <v>243</v>
      </c>
      <c r="F158" s="505" t="s">
        <v>332</v>
      </c>
      <c r="G158" s="505" t="s">
        <v>231</v>
      </c>
      <c r="H158" s="505" t="s">
        <v>229</v>
      </c>
      <c r="I158" s="505"/>
      <c r="J158" s="505"/>
      <c r="K158" s="609" t="s">
        <v>348</v>
      </c>
      <c r="L158" s="1110"/>
      <c r="M158" s="1110"/>
      <c r="N158" s="1110"/>
      <c r="O158" s="1110">
        <f>+L158+M158-N158</f>
        <v>0</v>
      </c>
      <c r="P158" s="1110"/>
      <c r="Q158" s="1110"/>
      <c r="R158" s="1110"/>
      <c r="S158" s="1110"/>
      <c r="T158" s="1110"/>
      <c r="U158" s="1110"/>
      <c r="V158" s="1110"/>
      <c r="W158" s="1110"/>
      <c r="X158" s="1110"/>
      <c r="Y158" s="1110"/>
      <c r="Z158" s="1110"/>
      <c r="AA158" s="1069">
        <f t="shared" si="66"/>
        <v>0</v>
      </c>
      <c r="AB158" s="1113" t="e">
        <f t="shared" si="59"/>
        <v>#DIV/0!</v>
      </c>
      <c r="AC158" s="729"/>
    </row>
    <row r="159" spans="1:29" s="1062" customFormat="1" ht="31.5" hidden="1" customHeight="1" thickTop="1" thickBot="1" x14ac:dyDescent="0.3">
      <c r="A159" s="424">
        <v>1</v>
      </c>
      <c r="B159" s="519" t="s">
        <v>216</v>
      </c>
      <c r="C159" s="519" t="s">
        <v>216</v>
      </c>
      <c r="D159" s="519" t="s">
        <v>231</v>
      </c>
      <c r="E159" s="519" t="s">
        <v>243</v>
      </c>
      <c r="F159" s="519" t="s">
        <v>332</v>
      </c>
      <c r="G159" s="519" t="s">
        <v>305</v>
      </c>
      <c r="H159" s="519"/>
      <c r="I159" s="519"/>
      <c r="J159" s="519"/>
      <c r="K159" s="1105" t="s">
        <v>349</v>
      </c>
      <c r="L159" s="1106">
        <f>SUM(L160:L162)</f>
        <v>0</v>
      </c>
      <c r="M159" s="1106">
        <f t="shared" ref="M159:Z159" si="68">SUM(M160:M162)</f>
        <v>0</v>
      </c>
      <c r="N159" s="1106">
        <f t="shared" si="68"/>
        <v>0</v>
      </c>
      <c r="O159" s="1106">
        <f t="shared" si="68"/>
        <v>0</v>
      </c>
      <c r="P159" s="1106">
        <f t="shared" si="68"/>
        <v>0</v>
      </c>
      <c r="Q159" s="1106"/>
      <c r="R159" s="1106">
        <f t="shared" si="68"/>
        <v>0</v>
      </c>
      <c r="S159" s="1106"/>
      <c r="T159" s="1106">
        <f t="shared" si="68"/>
        <v>0</v>
      </c>
      <c r="U159" s="1106"/>
      <c r="V159" s="1106">
        <f t="shared" si="68"/>
        <v>0</v>
      </c>
      <c r="W159" s="1106"/>
      <c r="X159" s="1106">
        <f t="shared" si="68"/>
        <v>0</v>
      </c>
      <c r="Y159" s="1106">
        <f t="shared" si="68"/>
        <v>0</v>
      </c>
      <c r="Z159" s="1106">
        <f t="shared" si="68"/>
        <v>0</v>
      </c>
      <c r="AA159" s="1069">
        <f t="shared" si="66"/>
        <v>0</v>
      </c>
      <c r="AB159" s="1107" t="e">
        <f t="shared" si="59"/>
        <v>#DIV/0!</v>
      </c>
      <c r="AC159" s="522"/>
    </row>
    <row r="160" spans="1:29" ht="22.5" hidden="1" customHeight="1" thickTop="1" thickBot="1" x14ac:dyDescent="0.3">
      <c r="A160" s="425">
        <v>1</v>
      </c>
      <c r="B160" s="505" t="s">
        <v>216</v>
      </c>
      <c r="C160" s="505" t="s">
        <v>216</v>
      </c>
      <c r="D160" s="505" t="s">
        <v>231</v>
      </c>
      <c r="E160" s="505" t="s">
        <v>243</v>
      </c>
      <c r="F160" s="505" t="s">
        <v>332</v>
      </c>
      <c r="G160" s="505" t="s">
        <v>305</v>
      </c>
      <c r="H160" s="505" t="s">
        <v>216</v>
      </c>
      <c r="I160" s="505"/>
      <c r="J160" s="505"/>
      <c r="K160" s="609" t="s">
        <v>350</v>
      </c>
      <c r="L160" s="1110"/>
      <c r="M160" s="1110"/>
      <c r="N160" s="1110"/>
      <c r="O160" s="1110">
        <f>+L160+M160-N160</f>
        <v>0</v>
      </c>
      <c r="P160" s="1110"/>
      <c r="Q160" s="1110"/>
      <c r="R160" s="1110"/>
      <c r="S160" s="1110"/>
      <c r="T160" s="1110"/>
      <c r="U160" s="1110"/>
      <c r="V160" s="1110"/>
      <c r="W160" s="1110"/>
      <c r="X160" s="1110"/>
      <c r="Y160" s="1110"/>
      <c r="Z160" s="1110"/>
      <c r="AA160" s="1110">
        <f t="shared" si="66"/>
        <v>0</v>
      </c>
      <c r="AB160" s="1113" t="e">
        <f t="shared" si="59"/>
        <v>#DIV/0!</v>
      </c>
      <c r="AC160" s="729"/>
    </row>
    <row r="161" spans="1:29" ht="22.5" hidden="1" customHeight="1" thickTop="1" thickBot="1" x14ac:dyDescent="0.3">
      <c r="A161" s="425">
        <v>1</v>
      </c>
      <c r="B161" s="505" t="s">
        <v>216</v>
      </c>
      <c r="C161" s="505" t="s">
        <v>216</v>
      </c>
      <c r="D161" s="505" t="s">
        <v>231</v>
      </c>
      <c r="E161" s="505" t="s">
        <v>243</v>
      </c>
      <c r="F161" s="505" t="s">
        <v>332</v>
      </c>
      <c r="G161" s="505" t="s">
        <v>305</v>
      </c>
      <c r="H161" s="505" t="s">
        <v>227</v>
      </c>
      <c r="I161" s="505"/>
      <c r="J161" s="505"/>
      <c r="K161" s="609" t="s">
        <v>351</v>
      </c>
      <c r="L161" s="1110"/>
      <c r="M161" s="1110"/>
      <c r="N161" s="1110"/>
      <c r="O161" s="1110">
        <f>+L161+M161-N161</f>
        <v>0</v>
      </c>
      <c r="P161" s="1110"/>
      <c r="Q161" s="1110"/>
      <c r="R161" s="1110"/>
      <c r="S161" s="1110"/>
      <c r="T161" s="1110"/>
      <c r="U161" s="1110"/>
      <c r="V161" s="1110"/>
      <c r="W161" s="1110"/>
      <c r="X161" s="1110"/>
      <c r="Y161" s="1110"/>
      <c r="Z161" s="1110"/>
      <c r="AA161" s="1110">
        <f t="shared" si="66"/>
        <v>0</v>
      </c>
      <c r="AB161" s="1113" t="e">
        <f t="shared" si="59"/>
        <v>#DIV/0!</v>
      </c>
      <c r="AC161" s="729"/>
    </row>
    <row r="162" spans="1:29" ht="22.5" hidden="1" customHeight="1" thickTop="1" thickBot="1" x14ac:dyDescent="0.3">
      <c r="A162" s="425">
        <v>1</v>
      </c>
      <c r="B162" s="505" t="s">
        <v>216</v>
      </c>
      <c r="C162" s="505" t="s">
        <v>216</v>
      </c>
      <c r="D162" s="505" t="s">
        <v>231</v>
      </c>
      <c r="E162" s="505" t="s">
        <v>243</v>
      </c>
      <c r="F162" s="505" t="s">
        <v>332</v>
      </c>
      <c r="G162" s="505" t="s">
        <v>305</v>
      </c>
      <c r="H162" s="505" t="s">
        <v>229</v>
      </c>
      <c r="I162" s="505"/>
      <c r="J162" s="505"/>
      <c r="K162" s="609" t="s">
        <v>352</v>
      </c>
      <c r="L162" s="1110"/>
      <c r="M162" s="1110"/>
      <c r="N162" s="1110"/>
      <c r="O162" s="1110">
        <f>+L162+M162-N162</f>
        <v>0</v>
      </c>
      <c r="P162" s="1110"/>
      <c r="Q162" s="1110"/>
      <c r="R162" s="1110"/>
      <c r="S162" s="1110"/>
      <c r="T162" s="1110"/>
      <c r="U162" s="1110"/>
      <c r="V162" s="1110"/>
      <c r="W162" s="1110"/>
      <c r="X162" s="1110"/>
      <c r="Y162" s="1110"/>
      <c r="Z162" s="1110"/>
      <c r="AA162" s="1110">
        <f t="shared" si="66"/>
        <v>0</v>
      </c>
      <c r="AB162" s="1113" t="e">
        <f t="shared" si="59"/>
        <v>#DIV/0!</v>
      </c>
      <c r="AC162" s="729"/>
    </row>
    <row r="163" spans="1:29" s="1062" customFormat="1" ht="22.5" hidden="1" customHeight="1" thickTop="1" thickBot="1" x14ac:dyDescent="0.3">
      <c r="A163" s="424">
        <v>1</v>
      </c>
      <c r="B163" s="519" t="s">
        <v>216</v>
      </c>
      <c r="C163" s="519" t="s">
        <v>216</v>
      </c>
      <c r="D163" s="519" t="s">
        <v>231</v>
      </c>
      <c r="E163" s="519" t="s">
        <v>243</v>
      </c>
      <c r="F163" s="519" t="s">
        <v>332</v>
      </c>
      <c r="G163" s="519" t="s">
        <v>313</v>
      </c>
      <c r="H163" s="519"/>
      <c r="I163" s="519"/>
      <c r="J163" s="519"/>
      <c r="K163" s="1105" t="s">
        <v>353</v>
      </c>
      <c r="L163" s="1106">
        <f>SUM(L164:L166)</f>
        <v>0</v>
      </c>
      <c r="M163" s="1106">
        <f t="shared" ref="M163:Z163" si="69">SUM(M164:M166)</f>
        <v>0</v>
      </c>
      <c r="N163" s="1106">
        <f t="shared" si="69"/>
        <v>0</v>
      </c>
      <c r="O163" s="1106">
        <f t="shared" si="69"/>
        <v>0</v>
      </c>
      <c r="P163" s="1106">
        <f t="shared" si="69"/>
        <v>0</v>
      </c>
      <c r="Q163" s="1106"/>
      <c r="R163" s="1106">
        <f t="shared" si="69"/>
        <v>0</v>
      </c>
      <c r="S163" s="1106"/>
      <c r="T163" s="1106">
        <f t="shared" si="69"/>
        <v>0</v>
      </c>
      <c r="U163" s="1106"/>
      <c r="V163" s="1106">
        <f t="shared" si="69"/>
        <v>0</v>
      </c>
      <c r="W163" s="1106"/>
      <c r="X163" s="1106">
        <f t="shared" si="69"/>
        <v>0</v>
      </c>
      <c r="Y163" s="1106">
        <f t="shared" si="69"/>
        <v>0</v>
      </c>
      <c r="Z163" s="1106">
        <f t="shared" si="69"/>
        <v>0</v>
      </c>
      <c r="AA163" s="1106">
        <f t="shared" si="66"/>
        <v>0</v>
      </c>
      <c r="AB163" s="1107" t="e">
        <f t="shared" si="59"/>
        <v>#DIV/0!</v>
      </c>
      <c r="AC163" s="522"/>
    </row>
    <row r="164" spans="1:29" ht="22.5" hidden="1" customHeight="1" thickTop="1" thickBot="1" x14ac:dyDescent="0.3">
      <c r="A164" s="425">
        <v>1</v>
      </c>
      <c r="B164" s="505" t="s">
        <v>216</v>
      </c>
      <c r="C164" s="505" t="s">
        <v>216</v>
      </c>
      <c r="D164" s="505" t="s">
        <v>231</v>
      </c>
      <c r="E164" s="505" t="s">
        <v>243</v>
      </c>
      <c r="F164" s="505" t="s">
        <v>332</v>
      </c>
      <c r="G164" s="505" t="s">
        <v>313</v>
      </c>
      <c r="H164" s="505" t="s">
        <v>216</v>
      </c>
      <c r="I164" s="505"/>
      <c r="J164" s="505"/>
      <c r="K164" s="609" t="s">
        <v>354</v>
      </c>
      <c r="L164" s="1110"/>
      <c r="M164" s="1110"/>
      <c r="N164" s="1110"/>
      <c r="O164" s="1110">
        <f>+L164+M164-N164</f>
        <v>0</v>
      </c>
      <c r="P164" s="1110"/>
      <c r="Q164" s="1110"/>
      <c r="R164" s="1110"/>
      <c r="S164" s="1110"/>
      <c r="T164" s="1110"/>
      <c r="U164" s="1110"/>
      <c r="V164" s="1110"/>
      <c r="W164" s="1110"/>
      <c r="X164" s="1110"/>
      <c r="Y164" s="1110"/>
      <c r="Z164" s="1110"/>
      <c r="AA164" s="1110">
        <f t="shared" si="66"/>
        <v>0</v>
      </c>
      <c r="AB164" s="1113" t="e">
        <f t="shared" si="59"/>
        <v>#DIV/0!</v>
      </c>
      <c r="AC164" s="729"/>
    </row>
    <row r="165" spans="1:29" ht="22.5" hidden="1" customHeight="1" thickTop="1" thickBot="1" x14ac:dyDescent="0.3">
      <c r="A165" s="425">
        <v>1</v>
      </c>
      <c r="B165" s="505" t="s">
        <v>216</v>
      </c>
      <c r="C165" s="505" t="s">
        <v>216</v>
      </c>
      <c r="D165" s="505" t="s">
        <v>231</v>
      </c>
      <c r="E165" s="505" t="s">
        <v>243</v>
      </c>
      <c r="F165" s="505" t="s">
        <v>332</v>
      </c>
      <c r="G165" s="505" t="s">
        <v>313</v>
      </c>
      <c r="H165" s="505" t="s">
        <v>227</v>
      </c>
      <c r="I165" s="505"/>
      <c r="J165" s="505"/>
      <c r="K165" s="609" t="s">
        <v>355</v>
      </c>
      <c r="L165" s="1110"/>
      <c r="M165" s="1110"/>
      <c r="N165" s="1110"/>
      <c r="O165" s="1110">
        <f>+L165+M165-N165</f>
        <v>0</v>
      </c>
      <c r="P165" s="1110"/>
      <c r="Q165" s="1110"/>
      <c r="R165" s="1110"/>
      <c r="S165" s="1110"/>
      <c r="T165" s="1110"/>
      <c r="U165" s="1110"/>
      <c r="V165" s="1110"/>
      <c r="W165" s="1110"/>
      <c r="X165" s="1110"/>
      <c r="Y165" s="1110"/>
      <c r="Z165" s="1110"/>
      <c r="AA165" s="1110">
        <f t="shared" si="66"/>
        <v>0</v>
      </c>
      <c r="AB165" s="1113" t="e">
        <f t="shared" si="59"/>
        <v>#DIV/0!</v>
      </c>
      <c r="AC165" s="729"/>
    </row>
    <row r="166" spans="1:29" ht="22.5" hidden="1" customHeight="1" thickTop="1" thickBot="1" x14ac:dyDescent="0.3">
      <c r="A166" s="425">
        <v>1</v>
      </c>
      <c r="B166" s="505" t="s">
        <v>216</v>
      </c>
      <c r="C166" s="505" t="s">
        <v>216</v>
      </c>
      <c r="D166" s="505" t="s">
        <v>231</v>
      </c>
      <c r="E166" s="505" t="s">
        <v>243</v>
      </c>
      <c r="F166" s="505" t="s">
        <v>332</v>
      </c>
      <c r="G166" s="505" t="s">
        <v>313</v>
      </c>
      <c r="H166" s="505" t="s">
        <v>229</v>
      </c>
      <c r="I166" s="505"/>
      <c r="J166" s="505"/>
      <c r="K166" s="609" t="s">
        <v>356</v>
      </c>
      <c r="L166" s="1110"/>
      <c r="M166" s="1110"/>
      <c r="N166" s="1110"/>
      <c r="O166" s="1110">
        <f>+L166+M166-N166</f>
        <v>0</v>
      </c>
      <c r="P166" s="1110"/>
      <c r="Q166" s="1110"/>
      <c r="R166" s="1110"/>
      <c r="S166" s="1110"/>
      <c r="T166" s="1110"/>
      <c r="U166" s="1110"/>
      <c r="V166" s="1110"/>
      <c r="W166" s="1110"/>
      <c r="X166" s="1110"/>
      <c r="Y166" s="1110"/>
      <c r="Z166" s="1110"/>
      <c r="AA166" s="1110">
        <f t="shared" si="66"/>
        <v>0</v>
      </c>
      <c r="AB166" s="1113" t="e">
        <f t="shared" si="59"/>
        <v>#DIV/0!</v>
      </c>
      <c r="AC166" s="729"/>
    </row>
    <row r="167" spans="1:29" s="1062" customFormat="1" ht="22.5" hidden="1" customHeight="1" thickTop="1" thickBot="1" x14ac:dyDescent="0.3">
      <c r="A167" s="424">
        <v>1</v>
      </c>
      <c r="B167" s="519" t="s">
        <v>216</v>
      </c>
      <c r="C167" s="519" t="s">
        <v>216</v>
      </c>
      <c r="D167" s="519" t="s">
        <v>231</v>
      </c>
      <c r="E167" s="519" t="s">
        <v>243</v>
      </c>
      <c r="F167" s="519" t="s">
        <v>332</v>
      </c>
      <c r="G167" s="519" t="s">
        <v>243</v>
      </c>
      <c r="H167" s="519"/>
      <c r="I167" s="519"/>
      <c r="J167" s="519"/>
      <c r="K167" s="1105" t="s">
        <v>357</v>
      </c>
      <c r="L167" s="1106">
        <f>SUM(L168:L170)</f>
        <v>0</v>
      </c>
      <c r="M167" s="1106">
        <f t="shared" ref="M167:Z167" si="70">SUM(M168:M170)</f>
        <v>0</v>
      </c>
      <c r="N167" s="1106">
        <f t="shared" si="70"/>
        <v>0</v>
      </c>
      <c r="O167" s="1106">
        <f t="shared" si="70"/>
        <v>0</v>
      </c>
      <c r="P167" s="1106">
        <f t="shared" si="70"/>
        <v>0</v>
      </c>
      <c r="Q167" s="1106"/>
      <c r="R167" s="1106">
        <f t="shared" si="70"/>
        <v>0</v>
      </c>
      <c r="S167" s="1106"/>
      <c r="T167" s="1106">
        <f t="shared" si="70"/>
        <v>0</v>
      </c>
      <c r="U167" s="1106"/>
      <c r="V167" s="1106">
        <f t="shared" si="70"/>
        <v>0</v>
      </c>
      <c r="W167" s="1106"/>
      <c r="X167" s="1106">
        <f t="shared" si="70"/>
        <v>0</v>
      </c>
      <c r="Y167" s="1106">
        <f t="shared" si="70"/>
        <v>0</v>
      </c>
      <c r="Z167" s="1106">
        <f t="shared" si="70"/>
        <v>0</v>
      </c>
      <c r="AA167" s="1106">
        <f t="shared" si="66"/>
        <v>0</v>
      </c>
      <c r="AB167" s="1107" t="e">
        <f t="shared" si="59"/>
        <v>#DIV/0!</v>
      </c>
      <c r="AC167" s="522"/>
    </row>
    <row r="168" spans="1:29" ht="22.5" hidden="1" customHeight="1" thickTop="1" thickBot="1" x14ac:dyDescent="0.3">
      <c r="A168" s="425">
        <v>1</v>
      </c>
      <c r="B168" s="505" t="s">
        <v>216</v>
      </c>
      <c r="C168" s="505" t="s">
        <v>216</v>
      </c>
      <c r="D168" s="505" t="s">
        <v>231</v>
      </c>
      <c r="E168" s="505" t="s">
        <v>243</v>
      </c>
      <c r="F168" s="505" t="s">
        <v>332</v>
      </c>
      <c r="G168" s="505" t="s">
        <v>243</v>
      </c>
      <c r="H168" s="505" t="s">
        <v>216</v>
      </c>
      <c r="I168" s="505"/>
      <c r="J168" s="505"/>
      <c r="K168" s="609" t="s">
        <v>358</v>
      </c>
      <c r="L168" s="1110"/>
      <c r="M168" s="1110"/>
      <c r="N168" s="1110"/>
      <c r="O168" s="1110">
        <f>+L168+M168-N168</f>
        <v>0</v>
      </c>
      <c r="P168" s="1110"/>
      <c r="Q168" s="1110"/>
      <c r="R168" s="1110"/>
      <c r="S168" s="1110"/>
      <c r="T168" s="1110"/>
      <c r="U168" s="1110"/>
      <c r="V168" s="1110"/>
      <c r="W168" s="1110"/>
      <c r="X168" s="1110"/>
      <c r="Y168" s="1110"/>
      <c r="Z168" s="1110"/>
      <c r="AA168" s="1110">
        <f t="shared" si="66"/>
        <v>0</v>
      </c>
      <c r="AB168" s="1113" t="e">
        <f t="shared" si="59"/>
        <v>#DIV/0!</v>
      </c>
      <c r="AC168" s="729"/>
    </row>
    <row r="169" spans="1:29" ht="22.5" hidden="1" customHeight="1" thickTop="1" thickBot="1" x14ac:dyDescent="0.3">
      <c r="A169" s="425">
        <v>1</v>
      </c>
      <c r="B169" s="505" t="s">
        <v>216</v>
      </c>
      <c r="C169" s="505" t="s">
        <v>216</v>
      </c>
      <c r="D169" s="505" t="s">
        <v>231</v>
      </c>
      <c r="E169" s="505" t="s">
        <v>243</v>
      </c>
      <c r="F169" s="505" t="s">
        <v>332</v>
      </c>
      <c r="G169" s="505" t="s">
        <v>243</v>
      </c>
      <c r="H169" s="505" t="s">
        <v>227</v>
      </c>
      <c r="I169" s="505"/>
      <c r="J169" s="505"/>
      <c r="K169" s="609" t="s">
        <v>359</v>
      </c>
      <c r="L169" s="1110"/>
      <c r="M169" s="1110"/>
      <c r="N169" s="1110"/>
      <c r="O169" s="1110">
        <f>+L169+M169-N169</f>
        <v>0</v>
      </c>
      <c r="P169" s="1110"/>
      <c r="Q169" s="1110"/>
      <c r="R169" s="1110"/>
      <c r="S169" s="1110"/>
      <c r="T169" s="1110"/>
      <c r="U169" s="1110"/>
      <c r="V169" s="1110"/>
      <c r="W169" s="1110"/>
      <c r="X169" s="1110"/>
      <c r="Y169" s="1110"/>
      <c r="Z169" s="1110"/>
      <c r="AA169" s="1110">
        <f t="shared" si="66"/>
        <v>0</v>
      </c>
      <c r="AB169" s="1113" t="e">
        <f t="shared" si="59"/>
        <v>#DIV/0!</v>
      </c>
      <c r="AC169" s="729"/>
    </row>
    <row r="170" spans="1:29" ht="2.25" customHeight="1" thickTop="1" thickBot="1" x14ac:dyDescent="0.3">
      <c r="A170" s="425">
        <v>1</v>
      </c>
      <c r="B170" s="505" t="s">
        <v>216</v>
      </c>
      <c r="C170" s="505" t="s">
        <v>216</v>
      </c>
      <c r="D170" s="505" t="s">
        <v>231</v>
      </c>
      <c r="E170" s="505" t="s">
        <v>243</v>
      </c>
      <c r="F170" s="505" t="s">
        <v>332</v>
      </c>
      <c r="G170" s="505" t="s">
        <v>243</v>
      </c>
      <c r="H170" s="505" t="s">
        <v>229</v>
      </c>
      <c r="I170" s="505"/>
      <c r="J170" s="505"/>
      <c r="K170" s="609" t="s">
        <v>360</v>
      </c>
      <c r="L170" s="1110"/>
      <c r="M170" s="1110"/>
      <c r="N170" s="1110"/>
      <c r="O170" s="1110">
        <f>+L170+M170-N170</f>
        <v>0</v>
      </c>
      <c r="P170" s="1110"/>
      <c r="Q170" s="1110"/>
      <c r="R170" s="1110"/>
      <c r="S170" s="1110"/>
      <c r="T170" s="1110"/>
      <c r="U170" s="1110"/>
      <c r="V170" s="1110"/>
      <c r="W170" s="1110"/>
      <c r="X170" s="1110"/>
      <c r="Y170" s="1110"/>
      <c r="Z170" s="1110"/>
      <c r="AA170" s="1110">
        <f t="shared" si="66"/>
        <v>0</v>
      </c>
      <c r="AB170" s="1113" t="e">
        <f t="shared" si="59"/>
        <v>#DIV/0!</v>
      </c>
      <c r="AC170" s="729"/>
    </row>
    <row r="171" spans="1:29" s="1062" customFormat="1" ht="33" hidden="1" customHeight="1" thickTop="1" thickBot="1" x14ac:dyDescent="0.3">
      <c r="A171" s="424">
        <v>1</v>
      </c>
      <c r="B171" s="519" t="s">
        <v>216</v>
      </c>
      <c r="C171" s="519" t="s">
        <v>216</v>
      </c>
      <c r="D171" s="519" t="s">
        <v>231</v>
      </c>
      <c r="E171" s="519" t="s">
        <v>243</v>
      </c>
      <c r="F171" s="519" t="s">
        <v>332</v>
      </c>
      <c r="G171" s="519" t="s">
        <v>361</v>
      </c>
      <c r="H171" s="519"/>
      <c r="I171" s="519"/>
      <c r="J171" s="519"/>
      <c r="K171" s="1105" t="s">
        <v>362</v>
      </c>
      <c r="L171" s="1106">
        <f>SUM(L172:L174)</f>
        <v>0</v>
      </c>
      <c r="M171" s="1106">
        <f t="shared" ref="M171:Z171" si="71">SUM(M172:M174)</f>
        <v>0</v>
      </c>
      <c r="N171" s="1106">
        <f t="shared" si="71"/>
        <v>0</v>
      </c>
      <c r="O171" s="1106">
        <f t="shared" si="71"/>
        <v>0</v>
      </c>
      <c r="P171" s="1106">
        <f t="shared" si="71"/>
        <v>0</v>
      </c>
      <c r="Q171" s="1106"/>
      <c r="R171" s="1106">
        <f t="shared" si="71"/>
        <v>0</v>
      </c>
      <c r="S171" s="1106"/>
      <c r="T171" s="1106">
        <f t="shared" si="71"/>
        <v>0</v>
      </c>
      <c r="U171" s="1106"/>
      <c r="V171" s="1106">
        <f t="shared" si="71"/>
        <v>0</v>
      </c>
      <c r="W171" s="1106"/>
      <c r="X171" s="1106">
        <f t="shared" si="71"/>
        <v>0</v>
      </c>
      <c r="Y171" s="1106">
        <f t="shared" si="71"/>
        <v>0</v>
      </c>
      <c r="Z171" s="1106">
        <f t="shared" si="71"/>
        <v>0</v>
      </c>
      <c r="AA171" s="1106">
        <f t="shared" si="66"/>
        <v>0</v>
      </c>
      <c r="AB171" s="1107" t="e">
        <f t="shared" si="59"/>
        <v>#DIV/0!</v>
      </c>
      <c r="AC171" s="522"/>
    </row>
    <row r="172" spans="1:29" ht="31.5" hidden="1" customHeight="1" thickTop="1" thickBot="1" x14ac:dyDescent="0.3">
      <c r="A172" s="425">
        <v>1</v>
      </c>
      <c r="B172" s="505" t="s">
        <v>216</v>
      </c>
      <c r="C172" s="505" t="s">
        <v>216</v>
      </c>
      <c r="D172" s="505" t="s">
        <v>231</v>
      </c>
      <c r="E172" s="505" t="s">
        <v>243</v>
      </c>
      <c r="F172" s="505" t="s">
        <v>332</v>
      </c>
      <c r="G172" s="505" t="s">
        <v>361</v>
      </c>
      <c r="H172" s="505" t="s">
        <v>216</v>
      </c>
      <c r="I172" s="505"/>
      <c r="J172" s="505"/>
      <c r="K172" s="609" t="s">
        <v>388</v>
      </c>
      <c r="L172" s="1110"/>
      <c r="M172" s="1110"/>
      <c r="N172" s="1110"/>
      <c r="O172" s="1110">
        <f>+L172+M172-N172</f>
        <v>0</v>
      </c>
      <c r="P172" s="1110"/>
      <c r="Q172" s="1110"/>
      <c r="R172" s="1110"/>
      <c r="S172" s="1110"/>
      <c r="T172" s="1110"/>
      <c r="U172" s="1110"/>
      <c r="V172" s="1110"/>
      <c r="W172" s="1110"/>
      <c r="X172" s="1110"/>
      <c r="Y172" s="1110"/>
      <c r="Z172" s="1110"/>
      <c r="AA172" s="1110">
        <f t="shared" si="66"/>
        <v>0</v>
      </c>
      <c r="AB172" s="1113" t="e">
        <f t="shared" si="59"/>
        <v>#DIV/0!</v>
      </c>
      <c r="AC172" s="729"/>
    </row>
    <row r="173" spans="1:29" ht="13.5" hidden="1" customHeight="1" thickTop="1" thickBot="1" x14ac:dyDescent="0.3">
      <c r="A173" s="425">
        <v>1</v>
      </c>
      <c r="B173" s="505" t="s">
        <v>216</v>
      </c>
      <c r="C173" s="505" t="s">
        <v>216</v>
      </c>
      <c r="D173" s="505" t="s">
        <v>231</v>
      </c>
      <c r="E173" s="505" t="s">
        <v>243</v>
      </c>
      <c r="F173" s="505" t="s">
        <v>332</v>
      </c>
      <c r="G173" s="505" t="s">
        <v>361</v>
      </c>
      <c r="H173" s="505" t="s">
        <v>227</v>
      </c>
      <c r="I173" s="505"/>
      <c r="J173" s="505"/>
      <c r="K173" s="609" t="s">
        <v>364</v>
      </c>
      <c r="L173" s="1110"/>
      <c r="M173" s="1110"/>
      <c r="N173" s="1110"/>
      <c r="O173" s="1110">
        <f>+L173+M173-N173</f>
        <v>0</v>
      </c>
      <c r="P173" s="1110"/>
      <c r="Q173" s="1110"/>
      <c r="R173" s="1110"/>
      <c r="S173" s="1110"/>
      <c r="T173" s="1110"/>
      <c r="U173" s="1110"/>
      <c r="V173" s="1110"/>
      <c r="W173" s="1110"/>
      <c r="X173" s="1110"/>
      <c r="Y173" s="1110"/>
      <c r="Z173" s="1110"/>
      <c r="AA173" s="1110">
        <f t="shared" si="66"/>
        <v>0</v>
      </c>
      <c r="AB173" s="1113" t="e">
        <f t="shared" si="59"/>
        <v>#DIV/0!</v>
      </c>
      <c r="AC173" s="729"/>
    </row>
    <row r="174" spans="1:29" ht="22.5" hidden="1" customHeight="1" thickTop="1" thickBot="1" x14ac:dyDescent="0.3">
      <c r="A174" s="425">
        <v>1</v>
      </c>
      <c r="B174" s="505" t="s">
        <v>216</v>
      </c>
      <c r="C174" s="505" t="s">
        <v>216</v>
      </c>
      <c r="D174" s="505" t="s">
        <v>231</v>
      </c>
      <c r="E174" s="505" t="s">
        <v>243</v>
      </c>
      <c r="F174" s="505" t="s">
        <v>332</v>
      </c>
      <c r="G174" s="505" t="s">
        <v>361</v>
      </c>
      <c r="H174" s="505" t="s">
        <v>229</v>
      </c>
      <c r="I174" s="505"/>
      <c r="J174" s="505"/>
      <c r="K174" s="609" t="s">
        <v>365</v>
      </c>
      <c r="L174" s="1110"/>
      <c r="M174" s="1110"/>
      <c r="N174" s="1110"/>
      <c r="O174" s="1110">
        <f>+L174+M174-N174</f>
        <v>0</v>
      </c>
      <c r="P174" s="1110"/>
      <c r="Q174" s="1110"/>
      <c r="R174" s="1110"/>
      <c r="S174" s="1110"/>
      <c r="T174" s="1110"/>
      <c r="U174" s="1110"/>
      <c r="V174" s="1110"/>
      <c r="W174" s="1110"/>
      <c r="X174" s="1110"/>
      <c r="Y174" s="1110"/>
      <c r="Z174" s="1110"/>
      <c r="AA174" s="1110">
        <f t="shared" si="66"/>
        <v>0</v>
      </c>
      <c r="AB174" s="1113" t="e">
        <f t="shared" si="59"/>
        <v>#DIV/0!</v>
      </c>
      <c r="AC174" s="729"/>
    </row>
    <row r="175" spans="1:29" s="1062" customFormat="1" ht="22.5" hidden="1" customHeight="1" thickTop="1" thickBot="1" x14ac:dyDescent="0.3">
      <c r="A175" s="424">
        <v>1</v>
      </c>
      <c r="B175" s="519" t="s">
        <v>216</v>
      </c>
      <c r="C175" s="519" t="s">
        <v>216</v>
      </c>
      <c r="D175" s="519" t="s">
        <v>231</v>
      </c>
      <c r="E175" s="519" t="s">
        <v>243</v>
      </c>
      <c r="F175" s="519" t="s">
        <v>332</v>
      </c>
      <c r="G175" s="519" t="s">
        <v>366</v>
      </c>
      <c r="H175" s="519"/>
      <c r="I175" s="519"/>
      <c r="J175" s="519"/>
      <c r="K175" s="1105" t="s">
        <v>367</v>
      </c>
      <c r="L175" s="1106">
        <f>SUM(L176:L178)</f>
        <v>0</v>
      </c>
      <c r="M175" s="1106">
        <f t="shared" ref="M175:Z175" si="72">SUM(M176:M178)</f>
        <v>0</v>
      </c>
      <c r="N175" s="1106">
        <f t="shared" si="72"/>
        <v>0</v>
      </c>
      <c r="O175" s="1106">
        <f t="shared" si="72"/>
        <v>0</v>
      </c>
      <c r="P175" s="1106">
        <f t="shared" si="72"/>
        <v>0</v>
      </c>
      <c r="Q175" s="1106"/>
      <c r="R175" s="1106">
        <f t="shared" si="72"/>
        <v>0</v>
      </c>
      <c r="S175" s="1106"/>
      <c r="T175" s="1106">
        <f t="shared" si="72"/>
        <v>0</v>
      </c>
      <c r="U175" s="1106"/>
      <c r="V175" s="1106">
        <f t="shared" si="72"/>
        <v>0</v>
      </c>
      <c r="W175" s="1106"/>
      <c r="X175" s="1106">
        <f t="shared" si="72"/>
        <v>0</v>
      </c>
      <c r="Y175" s="1106">
        <f t="shared" si="72"/>
        <v>0</v>
      </c>
      <c r="Z175" s="1106">
        <f t="shared" si="72"/>
        <v>0</v>
      </c>
      <c r="AA175" s="1106">
        <f t="shared" si="66"/>
        <v>0</v>
      </c>
      <c r="AB175" s="1107" t="e">
        <f t="shared" si="59"/>
        <v>#DIV/0!</v>
      </c>
      <c r="AC175" s="522"/>
    </row>
    <row r="176" spans="1:29" ht="22.5" hidden="1" customHeight="1" thickTop="1" thickBot="1" x14ac:dyDescent="0.3">
      <c r="A176" s="425">
        <v>1</v>
      </c>
      <c r="B176" s="505" t="s">
        <v>216</v>
      </c>
      <c r="C176" s="505" t="s">
        <v>216</v>
      </c>
      <c r="D176" s="505" t="s">
        <v>231</v>
      </c>
      <c r="E176" s="505" t="s">
        <v>243</v>
      </c>
      <c r="F176" s="505" t="s">
        <v>332</v>
      </c>
      <c r="G176" s="505" t="s">
        <v>366</v>
      </c>
      <c r="H176" s="505" t="s">
        <v>216</v>
      </c>
      <c r="I176" s="505"/>
      <c r="J176" s="505"/>
      <c r="K176" s="609" t="s">
        <v>369</v>
      </c>
      <c r="L176" s="1110"/>
      <c r="M176" s="1110"/>
      <c r="N176" s="1110"/>
      <c r="O176" s="1110">
        <f>+L176+M176-N176</f>
        <v>0</v>
      </c>
      <c r="P176" s="1110"/>
      <c r="Q176" s="1110"/>
      <c r="R176" s="1110"/>
      <c r="S176" s="1110"/>
      <c r="T176" s="1110"/>
      <c r="U176" s="1110"/>
      <c r="V176" s="1110"/>
      <c r="W176" s="1110"/>
      <c r="X176" s="1110"/>
      <c r="Y176" s="1110"/>
      <c r="Z176" s="1110"/>
      <c r="AA176" s="1110">
        <f t="shared" si="66"/>
        <v>0</v>
      </c>
      <c r="AB176" s="1113" t="e">
        <f t="shared" si="59"/>
        <v>#DIV/0!</v>
      </c>
      <c r="AC176" s="729"/>
    </row>
    <row r="177" spans="1:29" ht="22.5" hidden="1" customHeight="1" thickTop="1" thickBot="1" x14ac:dyDescent="0.3">
      <c r="A177" s="425">
        <v>1</v>
      </c>
      <c r="B177" s="505" t="s">
        <v>216</v>
      </c>
      <c r="C177" s="505" t="s">
        <v>216</v>
      </c>
      <c r="D177" s="505" t="s">
        <v>231</v>
      </c>
      <c r="E177" s="505" t="s">
        <v>243</v>
      </c>
      <c r="F177" s="505" t="s">
        <v>332</v>
      </c>
      <c r="G177" s="505" t="s">
        <v>366</v>
      </c>
      <c r="H177" s="505" t="s">
        <v>227</v>
      </c>
      <c r="I177" s="505"/>
      <c r="J177" s="505"/>
      <c r="K177" s="609" t="s">
        <v>368</v>
      </c>
      <c r="L177" s="1110"/>
      <c r="M177" s="1110"/>
      <c r="N177" s="1110"/>
      <c r="O177" s="1110">
        <f>+L177+M177-N177</f>
        <v>0</v>
      </c>
      <c r="P177" s="1110"/>
      <c r="Q177" s="1110"/>
      <c r="R177" s="1110"/>
      <c r="S177" s="1110"/>
      <c r="T177" s="1110"/>
      <c r="U177" s="1110"/>
      <c r="V177" s="1110"/>
      <c r="W177" s="1110"/>
      <c r="X177" s="1110"/>
      <c r="Y177" s="1110"/>
      <c r="Z177" s="1110"/>
      <c r="AA177" s="1110">
        <f t="shared" si="66"/>
        <v>0</v>
      </c>
      <c r="AB177" s="1113" t="e">
        <f t="shared" si="59"/>
        <v>#DIV/0!</v>
      </c>
      <c r="AC177" s="729"/>
    </row>
    <row r="178" spans="1:29" ht="22.5" hidden="1" customHeight="1" thickTop="1" thickBot="1" x14ac:dyDescent="0.3">
      <c r="A178" s="425">
        <v>1</v>
      </c>
      <c r="B178" s="505" t="s">
        <v>216</v>
      </c>
      <c r="C178" s="505" t="s">
        <v>216</v>
      </c>
      <c r="D178" s="505" t="s">
        <v>231</v>
      </c>
      <c r="E178" s="505" t="s">
        <v>243</v>
      </c>
      <c r="F178" s="505" t="s">
        <v>332</v>
      </c>
      <c r="G178" s="505" t="s">
        <v>366</v>
      </c>
      <c r="H178" s="505" t="s">
        <v>229</v>
      </c>
      <c r="I178" s="505"/>
      <c r="J178" s="505"/>
      <c r="K178" s="609" t="s">
        <v>370</v>
      </c>
      <c r="L178" s="1110"/>
      <c r="M178" s="1110"/>
      <c r="N178" s="1110"/>
      <c r="O178" s="1110">
        <f>+L178+M178-N178</f>
        <v>0</v>
      </c>
      <c r="P178" s="1110"/>
      <c r="Q178" s="1110"/>
      <c r="R178" s="1110"/>
      <c r="S178" s="1110"/>
      <c r="T178" s="1110"/>
      <c r="U178" s="1110"/>
      <c r="V178" s="1110"/>
      <c r="W178" s="1110"/>
      <c r="X178" s="1110"/>
      <c r="Y178" s="1110"/>
      <c r="Z178" s="1110"/>
      <c r="AA178" s="1110">
        <f t="shared" si="66"/>
        <v>0</v>
      </c>
      <c r="AB178" s="1113" t="e">
        <f t="shared" si="59"/>
        <v>#DIV/0!</v>
      </c>
      <c r="AC178" s="729"/>
    </row>
    <row r="179" spans="1:29" s="1062" customFormat="1" ht="22.5" hidden="1" customHeight="1" thickTop="1" thickBot="1" x14ac:dyDescent="0.3">
      <c r="A179" s="424">
        <v>1</v>
      </c>
      <c r="B179" s="519" t="s">
        <v>216</v>
      </c>
      <c r="C179" s="519" t="s">
        <v>216</v>
      </c>
      <c r="D179" s="519" t="s">
        <v>231</v>
      </c>
      <c r="E179" s="519" t="s">
        <v>243</v>
      </c>
      <c r="F179" s="519" t="s">
        <v>332</v>
      </c>
      <c r="G179" s="519" t="s">
        <v>371</v>
      </c>
      <c r="H179" s="519"/>
      <c r="I179" s="519"/>
      <c r="J179" s="519"/>
      <c r="K179" s="1105" t="s">
        <v>372</v>
      </c>
      <c r="L179" s="1106">
        <f>SUM(L180:L182)</f>
        <v>0</v>
      </c>
      <c r="M179" s="1106">
        <f t="shared" ref="M179:Z179" si="73">SUM(M180:M182)</f>
        <v>0</v>
      </c>
      <c r="N179" s="1106">
        <f t="shared" si="73"/>
        <v>0</v>
      </c>
      <c r="O179" s="1106">
        <f t="shared" si="73"/>
        <v>0</v>
      </c>
      <c r="P179" s="1106">
        <f t="shared" si="73"/>
        <v>0</v>
      </c>
      <c r="Q179" s="1106"/>
      <c r="R179" s="1106">
        <f t="shared" si="73"/>
        <v>0</v>
      </c>
      <c r="S179" s="1106"/>
      <c r="T179" s="1106">
        <f t="shared" si="73"/>
        <v>0</v>
      </c>
      <c r="U179" s="1106"/>
      <c r="V179" s="1106">
        <f t="shared" si="73"/>
        <v>0</v>
      </c>
      <c r="W179" s="1106"/>
      <c r="X179" s="1106">
        <f t="shared" si="73"/>
        <v>0</v>
      </c>
      <c r="Y179" s="1106">
        <f t="shared" si="73"/>
        <v>0</v>
      </c>
      <c r="Z179" s="1106">
        <f t="shared" si="73"/>
        <v>0</v>
      </c>
      <c r="AA179" s="1106">
        <f t="shared" si="66"/>
        <v>0</v>
      </c>
      <c r="AB179" s="1107" t="e">
        <f t="shared" si="59"/>
        <v>#DIV/0!</v>
      </c>
      <c r="AC179" s="522"/>
    </row>
    <row r="180" spans="1:29" ht="22.5" hidden="1" customHeight="1" thickTop="1" thickBot="1" x14ac:dyDescent="0.3">
      <c r="A180" s="425">
        <v>1</v>
      </c>
      <c r="B180" s="505" t="s">
        <v>216</v>
      </c>
      <c r="C180" s="505" t="s">
        <v>216</v>
      </c>
      <c r="D180" s="505" t="s">
        <v>231</v>
      </c>
      <c r="E180" s="505" t="s">
        <v>243</v>
      </c>
      <c r="F180" s="505" t="s">
        <v>332</v>
      </c>
      <c r="G180" s="505" t="s">
        <v>371</v>
      </c>
      <c r="H180" s="505" t="s">
        <v>216</v>
      </c>
      <c r="I180" s="505"/>
      <c r="J180" s="505"/>
      <c r="K180" s="609" t="s">
        <v>373</v>
      </c>
      <c r="L180" s="1110"/>
      <c r="M180" s="1110"/>
      <c r="N180" s="1110"/>
      <c r="O180" s="1110">
        <f>+L180+M180-N180</f>
        <v>0</v>
      </c>
      <c r="P180" s="1110"/>
      <c r="Q180" s="1110"/>
      <c r="R180" s="1110"/>
      <c r="S180" s="1110"/>
      <c r="T180" s="1110"/>
      <c r="U180" s="1110"/>
      <c r="V180" s="1110"/>
      <c r="W180" s="1110"/>
      <c r="X180" s="1110"/>
      <c r="Y180" s="1110"/>
      <c r="Z180" s="1110"/>
      <c r="AA180" s="1110">
        <f t="shared" si="66"/>
        <v>0</v>
      </c>
      <c r="AB180" s="1113" t="e">
        <f t="shared" si="59"/>
        <v>#DIV/0!</v>
      </c>
      <c r="AC180" s="729"/>
    </row>
    <row r="181" spans="1:29" ht="22.5" hidden="1" customHeight="1" thickTop="1" thickBot="1" x14ac:dyDescent="0.3">
      <c r="A181" s="425">
        <v>1</v>
      </c>
      <c r="B181" s="505" t="s">
        <v>216</v>
      </c>
      <c r="C181" s="505" t="s">
        <v>216</v>
      </c>
      <c r="D181" s="505" t="s">
        <v>231</v>
      </c>
      <c r="E181" s="505" t="s">
        <v>243</v>
      </c>
      <c r="F181" s="505" t="s">
        <v>332</v>
      </c>
      <c r="G181" s="505" t="s">
        <v>371</v>
      </c>
      <c r="H181" s="505" t="s">
        <v>227</v>
      </c>
      <c r="I181" s="505"/>
      <c r="J181" s="505"/>
      <c r="K181" s="609" t="s">
        <v>374</v>
      </c>
      <c r="L181" s="1110"/>
      <c r="M181" s="1110"/>
      <c r="N181" s="1110"/>
      <c r="O181" s="1110">
        <f>+L181+M181-N181</f>
        <v>0</v>
      </c>
      <c r="P181" s="1110"/>
      <c r="Q181" s="1110"/>
      <c r="R181" s="1110"/>
      <c r="S181" s="1110"/>
      <c r="T181" s="1110"/>
      <c r="U181" s="1110"/>
      <c r="V181" s="1110"/>
      <c r="W181" s="1110"/>
      <c r="X181" s="1110"/>
      <c r="Y181" s="1110"/>
      <c r="Z181" s="1110"/>
      <c r="AA181" s="1110">
        <f t="shared" si="66"/>
        <v>0</v>
      </c>
      <c r="AB181" s="1113" t="e">
        <f t="shared" si="59"/>
        <v>#DIV/0!</v>
      </c>
      <c r="AC181" s="729"/>
    </row>
    <row r="182" spans="1:29" ht="22.5" hidden="1" customHeight="1" thickTop="1" thickBot="1" x14ac:dyDescent="0.3">
      <c r="A182" s="425">
        <v>1</v>
      </c>
      <c r="B182" s="505" t="s">
        <v>216</v>
      </c>
      <c r="C182" s="505" t="s">
        <v>216</v>
      </c>
      <c r="D182" s="505" t="s">
        <v>231</v>
      </c>
      <c r="E182" s="505" t="s">
        <v>243</v>
      </c>
      <c r="F182" s="505" t="s">
        <v>332</v>
      </c>
      <c r="G182" s="505" t="s">
        <v>371</v>
      </c>
      <c r="H182" s="505" t="s">
        <v>229</v>
      </c>
      <c r="I182" s="505"/>
      <c r="J182" s="505"/>
      <c r="K182" s="609" t="s">
        <v>389</v>
      </c>
      <c r="L182" s="1110"/>
      <c r="M182" s="1110"/>
      <c r="N182" s="1110"/>
      <c r="O182" s="1110">
        <f>+L182+M182-N182</f>
        <v>0</v>
      </c>
      <c r="P182" s="1110"/>
      <c r="Q182" s="1110"/>
      <c r="R182" s="1110"/>
      <c r="S182" s="1110"/>
      <c r="T182" s="1110"/>
      <c r="U182" s="1110"/>
      <c r="V182" s="1110"/>
      <c r="W182" s="1110"/>
      <c r="X182" s="1110"/>
      <c r="Y182" s="1110"/>
      <c r="Z182" s="1110"/>
      <c r="AA182" s="1110">
        <f t="shared" si="66"/>
        <v>0</v>
      </c>
      <c r="AB182" s="1113" t="e">
        <f t="shared" si="59"/>
        <v>#DIV/0!</v>
      </c>
      <c r="AC182" s="729"/>
    </row>
    <row r="183" spans="1:29" s="1062" customFormat="1" ht="22.5" hidden="1" customHeight="1" thickTop="1" thickBot="1" x14ac:dyDescent="0.3">
      <c r="A183" s="424">
        <v>1</v>
      </c>
      <c r="B183" s="519" t="s">
        <v>216</v>
      </c>
      <c r="C183" s="519" t="s">
        <v>216</v>
      </c>
      <c r="D183" s="519" t="s">
        <v>231</v>
      </c>
      <c r="E183" s="519" t="s">
        <v>243</v>
      </c>
      <c r="F183" s="519" t="s">
        <v>332</v>
      </c>
      <c r="G183" s="519" t="s">
        <v>376</v>
      </c>
      <c r="H183" s="519"/>
      <c r="I183" s="519"/>
      <c r="J183" s="519"/>
      <c r="K183" s="1105" t="s">
        <v>377</v>
      </c>
      <c r="L183" s="1106">
        <f>SUM(L184:L186)</f>
        <v>0</v>
      </c>
      <c r="M183" s="1106">
        <f t="shared" ref="M183:Z183" si="74">SUM(M184:M186)</f>
        <v>0</v>
      </c>
      <c r="N183" s="1106">
        <f t="shared" si="74"/>
        <v>0</v>
      </c>
      <c r="O183" s="1106">
        <f t="shared" si="74"/>
        <v>0</v>
      </c>
      <c r="P183" s="1106">
        <f t="shared" si="74"/>
        <v>0</v>
      </c>
      <c r="Q183" s="1106"/>
      <c r="R183" s="1106">
        <f t="shared" si="74"/>
        <v>0</v>
      </c>
      <c r="S183" s="1106"/>
      <c r="T183" s="1106">
        <f t="shared" si="74"/>
        <v>0</v>
      </c>
      <c r="U183" s="1106"/>
      <c r="V183" s="1106">
        <f t="shared" si="74"/>
        <v>0</v>
      </c>
      <c r="W183" s="1106"/>
      <c r="X183" s="1106">
        <f t="shared" si="74"/>
        <v>0</v>
      </c>
      <c r="Y183" s="1106">
        <f t="shared" si="74"/>
        <v>0</v>
      </c>
      <c r="Z183" s="1106">
        <f t="shared" si="74"/>
        <v>0</v>
      </c>
      <c r="AA183" s="1106">
        <f t="shared" si="66"/>
        <v>0</v>
      </c>
      <c r="AB183" s="1107" t="e">
        <f t="shared" si="59"/>
        <v>#DIV/0!</v>
      </c>
      <c r="AC183" s="522"/>
    </row>
    <row r="184" spans="1:29" ht="22.5" hidden="1" customHeight="1" thickTop="1" thickBot="1" x14ac:dyDescent="0.3">
      <c r="A184" s="425">
        <v>1</v>
      </c>
      <c r="B184" s="505" t="s">
        <v>216</v>
      </c>
      <c r="C184" s="505" t="s">
        <v>216</v>
      </c>
      <c r="D184" s="505" t="s">
        <v>231</v>
      </c>
      <c r="E184" s="505" t="s">
        <v>243</v>
      </c>
      <c r="F184" s="505" t="s">
        <v>332</v>
      </c>
      <c r="G184" s="505" t="s">
        <v>376</v>
      </c>
      <c r="H184" s="505" t="s">
        <v>216</v>
      </c>
      <c r="I184" s="505"/>
      <c r="J184" s="505"/>
      <c r="K184" s="609" t="s">
        <v>378</v>
      </c>
      <c r="L184" s="1110"/>
      <c r="M184" s="1110"/>
      <c r="N184" s="1110"/>
      <c r="O184" s="1110">
        <f>+L184+M184-N184</f>
        <v>0</v>
      </c>
      <c r="P184" s="1110"/>
      <c r="Q184" s="1110"/>
      <c r="R184" s="1110"/>
      <c r="S184" s="1110"/>
      <c r="T184" s="1110"/>
      <c r="U184" s="1110"/>
      <c r="V184" s="1110"/>
      <c r="W184" s="1110"/>
      <c r="X184" s="1110"/>
      <c r="Y184" s="1110"/>
      <c r="Z184" s="1110"/>
      <c r="AA184" s="1110">
        <f t="shared" si="66"/>
        <v>0</v>
      </c>
      <c r="AB184" s="1113" t="e">
        <f t="shared" si="59"/>
        <v>#DIV/0!</v>
      </c>
      <c r="AC184" s="729"/>
    </row>
    <row r="185" spans="1:29" ht="22.5" hidden="1" customHeight="1" thickTop="1" thickBot="1" x14ac:dyDescent="0.3">
      <c r="A185" s="425">
        <v>1</v>
      </c>
      <c r="B185" s="505" t="s">
        <v>216</v>
      </c>
      <c r="C185" s="505" t="s">
        <v>216</v>
      </c>
      <c r="D185" s="505" t="s">
        <v>231</v>
      </c>
      <c r="E185" s="505" t="s">
        <v>243</v>
      </c>
      <c r="F185" s="505" t="s">
        <v>332</v>
      </c>
      <c r="G185" s="505" t="s">
        <v>376</v>
      </c>
      <c r="H185" s="505" t="s">
        <v>227</v>
      </c>
      <c r="I185" s="505"/>
      <c r="J185" s="505"/>
      <c r="K185" s="609" t="s">
        <v>379</v>
      </c>
      <c r="L185" s="1110"/>
      <c r="M185" s="1110"/>
      <c r="N185" s="1110"/>
      <c r="O185" s="1110">
        <f>+L185+M185-N185</f>
        <v>0</v>
      </c>
      <c r="P185" s="1110"/>
      <c r="Q185" s="1110"/>
      <c r="R185" s="1110"/>
      <c r="S185" s="1110"/>
      <c r="T185" s="1110"/>
      <c r="U185" s="1110"/>
      <c r="V185" s="1110"/>
      <c r="W185" s="1110"/>
      <c r="X185" s="1110"/>
      <c r="Y185" s="1110"/>
      <c r="Z185" s="1110"/>
      <c r="AA185" s="1110">
        <f t="shared" si="66"/>
        <v>0</v>
      </c>
      <c r="AB185" s="1113" t="e">
        <f t="shared" si="59"/>
        <v>#DIV/0!</v>
      </c>
      <c r="AC185" s="729"/>
    </row>
    <row r="186" spans="1:29" ht="22.5" hidden="1" customHeight="1" thickTop="1" thickBot="1" x14ac:dyDescent="0.3">
      <c r="A186" s="425">
        <v>1</v>
      </c>
      <c r="B186" s="505" t="s">
        <v>216</v>
      </c>
      <c r="C186" s="505" t="s">
        <v>216</v>
      </c>
      <c r="D186" s="505" t="s">
        <v>231</v>
      </c>
      <c r="E186" s="505" t="s">
        <v>243</v>
      </c>
      <c r="F186" s="505" t="s">
        <v>332</v>
      </c>
      <c r="G186" s="505" t="s">
        <v>376</v>
      </c>
      <c r="H186" s="505" t="s">
        <v>229</v>
      </c>
      <c r="I186" s="505"/>
      <c r="J186" s="505"/>
      <c r="K186" s="609" t="s">
        <v>380</v>
      </c>
      <c r="L186" s="1110"/>
      <c r="M186" s="1110"/>
      <c r="N186" s="1110"/>
      <c r="O186" s="1110">
        <f>+L186+M186-N186</f>
        <v>0</v>
      </c>
      <c r="P186" s="1110"/>
      <c r="Q186" s="1110"/>
      <c r="R186" s="1110"/>
      <c r="S186" s="1110"/>
      <c r="T186" s="1110"/>
      <c r="U186" s="1110"/>
      <c r="V186" s="1110"/>
      <c r="W186" s="1110"/>
      <c r="X186" s="1110"/>
      <c r="Y186" s="1110"/>
      <c r="Z186" s="1110"/>
      <c r="AA186" s="1110">
        <f t="shared" si="66"/>
        <v>0</v>
      </c>
      <c r="AB186" s="1113" t="e">
        <f t="shared" si="59"/>
        <v>#DIV/0!</v>
      </c>
      <c r="AC186" s="729"/>
    </row>
    <row r="187" spans="1:29" s="1092" customFormat="1" ht="22.5" hidden="1" customHeight="1" thickTop="1" thickBot="1" x14ac:dyDescent="0.3">
      <c r="A187" s="1092">
        <v>1</v>
      </c>
      <c r="B187" s="1092" t="s">
        <v>216</v>
      </c>
      <c r="C187" s="1092" t="s">
        <v>216</v>
      </c>
      <c r="D187" s="1092" t="s">
        <v>231</v>
      </c>
      <c r="E187" s="1092" t="s">
        <v>361</v>
      </c>
      <c r="K187" s="1096" t="s">
        <v>390</v>
      </c>
      <c r="L187" s="1094">
        <f>+L188+L199+L205+L219+L223</f>
        <v>0</v>
      </c>
      <c r="M187" s="1094">
        <f t="shared" ref="M187:Z187" si="75">+M188+M199+M205+M219+M223</f>
        <v>0</v>
      </c>
      <c r="N187" s="1094">
        <f t="shared" si="75"/>
        <v>0</v>
      </c>
      <c r="O187" s="1094">
        <f t="shared" si="75"/>
        <v>0</v>
      </c>
      <c r="P187" s="1094">
        <f t="shared" si="75"/>
        <v>0</v>
      </c>
      <c r="Q187" s="1094"/>
      <c r="R187" s="1094">
        <f t="shared" si="75"/>
        <v>0</v>
      </c>
      <c r="S187" s="1094"/>
      <c r="T187" s="1092">
        <f t="shared" si="75"/>
        <v>0</v>
      </c>
      <c r="V187" s="1092">
        <f t="shared" si="75"/>
        <v>0</v>
      </c>
      <c r="X187" s="1092">
        <f t="shared" si="75"/>
        <v>0</v>
      </c>
      <c r="Y187" s="1094">
        <f t="shared" si="75"/>
        <v>0</v>
      </c>
      <c r="Z187" s="1094">
        <f t="shared" si="75"/>
        <v>0</v>
      </c>
      <c r="AA187" s="1094">
        <f t="shared" si="66"/>
        <v>0</v>
      </c>
      <c r="AB187" s="1136" t="e">
        <f t="shared" si="59"/>
        <v>#DIV/0!</v>
      </c>
    </row>
    <row r="188" spans="1:29" s="1128" customFormat="1" ht="22.5" hidden="1" customHeight="1" thickTop="1" thickBot="1" x14ac:dyDescent="0.3">
      <c r="A188" s="1121">
        <v>1</v>
      </c>
      <c r="B188" s="1122" t="s">
        <v>216</v>
      </c>
      <c r="C188" s="1122" t="s">
        <v>216</v>
      </c>
      <c r="D188" s="1122" t="s">
        <v>231</v>
      </c>
      <c r="E188" s="1122" t="s">
        <v>361</v>
      </c>
      <c r="F188" s="1122" t="s">
        <v>391</v>
      </c>
      <c r="G188" s="1122"/>
      <c r="H188" s="1122"/>
      <c r="I188" s="1122"/>
      <c r="J188" s="1122"/>
      <c r="K188" s="1124" t="s">
        <v>392</v>
      </c>
      <c r="L188" s="1125">
        <f t="shared" ref="L188:Z188" si="76">+L189+L194</f>
        <v>0</v>
      </c>
      <c r="M188" s="1125">
        <f t="shared" si="76"/>
        <v>0</v>
      </c>
      <c r="N188" s="1125">
        <f t="shared" si="76"/>
        <v>0</v>
      </c>
      <c r="O188" s="1125">
        <f t="shared" si="76"/>
        <v>0</v>
      </c>
      <c r="P188" s="1125">
        <f t="shared" si="76"/>
        <v>0</v>
      </c>
      <c r="Q188" s="1125"/>
      <c r="R188" s="1125">
        <f t="shared" si="76"/>
        <v>0</v>
      </c>
      <c r="S188" s="1125"/>
      <c r="T188" s="1125">
        <f t="shared" si="76"/>
        <v>0</v>
      </c>
      <c r="U188" s="1125"/>
      <c r="V188" s="1125">
        <f t="shared" si="76"/>
        <v>0</v>
      </c>
      <c r="W188" s="1125"/>
      <c r="X188" s="1125">
        <f t="shared" si="76"/>
        <v>0</v>
      </c>
      <c r="Y188" s="1125">
        <f t="shared" si="76"/>
        <v>0</v>
      </c>
      <c r="Z188" s="1125">
        <f t="shared" si="76"/>
        <v>0</v>
      </c>
      <c r="AA188" s="1125">
        <f t="shared" si="66"/>
        <v>0</v>
      </c>
      <c r="AB188" s="1126" t="e">
        <f t="shared" si="59"/>
        <v>#DIV/0!</v>
      </c>
      <c r="AC188" s="1127"/>
    </row>
    <row r="189" spans="1:29" s="1062" customFormat="1" ht="22.5" hidden="1" customHeight="1" thickTop="1" thickBot="1" x14ac:dyDescent="0.3">
      <c r="A189" s="424">
        <v>1</v>
      </c>
      <c r="B189" s="519" t="s">
        <v>216</v>
      </c>
      <c r="C189" s="519" t="s">
        <v>216</v>
      </c>
      <c r="D189" s="519" t="s">
        <v>231</v>
      </c>
      <c r="E189" s="519" t="s">
        <v>361</v>
      </c>
      <c r="F189" s="519" t="s">
        <v>391</v>
      </c>
      <c r="G189" s="519" t="s">
        <v>220</v>
      </c>
      <c r="H189" s="519"/>
      <c r="I189" s="519"/>
      <c r="J189" s="519"/>
      <c r="K189" s="1105" t="s">
        <v>393</v>
      </c>
      <c r="L189" s="1106">
        <f t="shared" ref="L189:Z189" si="77">+L190</f>
        <v>0</v>
      </c>
      <c r="M189" s="1106">
        <f t="shared" si="77"/>
        <v>0</v>
      </c>
      <c r="N189" s="1106">
        <f t="shared" si="77"/>
        <v>0</v>
      </c>
      <c r="O189" s="1106">
        <f t="shared" si="77"/>
        <v>0</v>
      </c>
      <c r="P189" s="1106">
        <f t="shared" si="77"/>
        <v>0</v>
      </c>
      <c r="Q189" s="1106"/>
      <c r="R189" s="1106">
        <f t="shared" si="77"/>
        <v>0</v>
      </c>
      <c r="S189" s="1106"/>
      <c r="T189" s="1106">
        <f t="shared" si="77"/>
        <v>0</v>
      </c>
      <c r="U189" s="1106"/>
      <c r="V189" s="1106">
        <f t="shared" si="77"/>
        <v>0</v>
      </c>
      <c r="W189" s="1106"/>
      <c r="X189" s="1106">
        <f t="shared" si="77"/>
        <v>0</v>
      </c>
      <c r="Y189" s="1106">
        <f t="shared" si="77"/>
        <v>0</v>
      </c>
      <c r="Z189" s="1106">
        <f t="shared" si="77"/>
        <v>0</v>
      </c>
      <c r="AA189" s="1106">
        <f t="shared" si="66"/>
        <v>0</v>
      </c>
      <c r="AB189" s="1107" t="e">
        <f t="shared" si="59"/>
        <v>#DIV/0!</v>
      </c>
      <c r="AC189" s="522"/>
    </row>
    <row r="190" spans="1:29" s="1062" customFormat="1" ht="31.5" hidden="1" customHeight="1" thickTop="1" thickBot="1" x14ac:dyDescent="0.3">
      <c r="A190" s="424">
        <v>1</v>
      </c>
      <c r="B190" s="519" t="s">
        <v>216</v>
      </c>
      <c r="C190" s="519" t="s">
        <v>216</v>
      </c>
      <c r="D190" s="519" t="s">
        <v>231</v>
      </c>
      <c r="E190" s="519" t="s">
        <v>361</v>
      </c>
      <c r="F190" s="519" t="s">
        <v>391</v>
      </c>
      <c r="G190" s="519" t="s">
        <v>220</v>
      </c>
      <c r="H190" s="519" t="s">
        <v>394</v>
      </c>
      <c r="I190" s="519"/>
      <c r="J190" s="519"/>
      <c r="K190" s="1105" t="s">
        <v>395</v>
      </c>
      <c r="L190" s="1106">
        <f t="shared" ref="L190:N190" si="78">SUM(L191:L193)</f>
        <v>0</v>
      </c>
      <c r="M190" s="1106">
        <f t="shared" si="78"/>
        <v>0</v>
      </c>
      <c r="N190" s="1106">
        <f t="shared" si="78"/>
        <v>0</v>
      </c>
      <c r="O190" s="1106">
        <f t="shared" ref="O190:Z190" si="79">SUM(O191:O193)</f>
        <v>0</v>
      </c>
      <c r="P190" s="1106">
        <f t="shared" si="79"/>
        <v>0</v>
      </c>
      <c r="Q190" s="1106"/>
      <c r="R190" s="1106">
        <f t="shared" si="79"/>
        <v>0</v>
      </c>
      <c r="S190" s="1106"/>
      <c r="T190" s="1106">
        <f t="shared" si="79"/>
        <v>0</v>
      </c>
      <c r="U190" s="1106"/>
      <c r="V190" s="1106">
        <f t="shared" si="79"/>
        <v>0</v>
      </c>
      <c r="W190" s="1106"/>
      <c r="X190" s="1106">
        <f t="shared" si="79"/>
        <v>0</v>
      </c>
      <c r="Y190" s="1106">
        <f t="shared" si="79"/>
        <v>0</v>
      </c>
      <c r="Z190" s="1106">
        <f t="shared" si="79"/>
        <v>0</v>
      </c>
      <c r="AA190" s="1106">
        <f t="shared" si="66"/>
        <v>0</v>
      </c>
      <c r="AB190" s="1107" t="e">
        <f t="shared" si="59"/>
        <v>#DIV/0!</v>
      </c>
      <c r="AC190" s="522"/>
    </row>
    <row r="191" spans="1:29" ht="33" hidden="1" customHeight="1" thickTop="1" thickBot="1" x14ac:dyDescent="0.3">
      <c r="A191" s="425">
        <v>1</v>
      </c>
      <c r="B191" s="505" t="s">
        <v>216</v>
      </c>
      <c r="C191" s="505" t="s">
        <v>216</v>
      </c>
      <c r="D191" s="505" t="s">
        <v>231</v>
      </c>
      <c r="E191" s="505" t="s">
        <v>361</v>
      </c>
      <c r="F191" s="505" t="s">
        <v>391</v>
      </c>
      <c r="G191" s="505" t="s">
        <v>220</v>
      </c>
      <c r="H191" s="505" t="s">
        <v>394</v>
      </c>
      <c r="I191" s="505" t="s">
        <v>216</v>
      </c>
      <c r="J191" s="505"/>
      <c r="K191" s="609" t="s">
        <v>396</v>
      </c>
      <c r="L191" s="1110"/>
      <c r="M191" s="1110"/>
      <c r="N191" s="1110"/>
      <c r="O191" s="1110">
        <f>+L191+M191-N191</f>
        <v>0</v>
      </c>
      <c r="P191" s="1110"/>
      <c r="Q191" s="1110"/>
      <c r="R191" s="1110"/>
      <c r="S191" s="1110"/>
      <c r="T191" s="1110"/>
      <c r="U191" s="1110"/>
      <c r="V191" s="1110"/>
      <c r="W191" s="1110"/>
      <c r="X191" s="1110"/>
      <c r="Y191" s="1110"/>
      <c r="Z191" s="1110"/>
      <c r="AA191" s="1110">
        <f t="shared" si="66"/>
        <v>0</v>
      </c>
      <c r="AB191" s="1113" t="e">
        <f t="shared" si="59"/>
        <v>#DIV/0!</v>
      </c>
      <c r="AC191" s="729"/>
    </row>
    <row r="192" spans="1:29" ht="29.25" hidden="1" customHeight="1" thickTop="1" thickBot="1" x14ac:dyDescent="0.3">
      <c r="A192" s="425">
        <v>1</v>
      </c>
      <c r="B192" s="505" t="s">
        <v>216</v>
      </c>
      <c r="C192" s="505" t="s">
        <v>216</v>
      </c>
      <c r="D192" s="505" t="s">
        <v>231</v>
      </c>
      <c r="E192" s="505" t="s">
        <v>361</v>
      </c>
      <c r="F192" s="505" t="s">
        <v>391</v>
      </c>
      <c r="G192" s="505" t="s">
        <v>220</v>
      </c>
      <c r="H192" s="505" t="s">
        <v>394</v>
      </c>
      <c r="I192" s="505" t="s">
        <v>227</v>
      </c>
      <c r="J192" s="505"/>
      <c r="K192" s="609" t="s">
        <v>397</v>
      </c>
      <c r="L192" s="1110"/>
      <c r="M192" s="1110"/>
      <c r="N192" s="1110"/>
      <c r="O192" s="1110">
        <f>+L192+M192-N192</f>
        <v>0</v>
      </c>
      <c r="P192" s="1110"/>
      <c r="Q192" s="1110"/>
      <c r="R192" s="1110"/>
      <c r="S192" s="1110"/>
      <c r="T192" s="1110"/>
      <c r="U192" s="1110"/>
      <c r="V192" s="1110"/>
      <c r="W192" s="1110"/>
      <c r="X192" s="1110"/>
      <c r="Y192" s="1110"/>
      <c r="Z192" s="1110"/>
      <c r="AA192" s="1110">
        <f t="shared" si="66"/>
        <v>0</v>
      </c>
      <c r="AB192" s="1113" t="e">
        <f t="shared" si="59"/>
        <v>#DIV/0!</v>
      </c>
      <c r="AC192" s="729"/>
    </row>
    <row r="193" spans="1:29" ht="33" hidden="1" customHeight="1" thickTop="1" thickBot="1" x14ac:dyDescent="0.3">
      <c r="A193" s="425">
        <v>1</v>
      </c>
      <c r="B193" s="505" t="s">
        <v>216</v>
      </c>
      <c r="C193" s="505" t="s">
        <v>216</v>
      </c>
      <c r="D193" s="505" t="s">
        <v>231</v>
      </c>
      <c r="E193" s="505" t="s">
        <v>361</v>
      </c>
      <c r="F193" s="505" t="s">
        <v>391</v>
      </c>
      <c r="G193" s="505" t="s">
        <v>220</v>
      </c>
      <c r="H193" s="505" t="s">
        <v>394</v>
      </c>
      <c r="I193" s="505" t="s">
        <v>229</v>
      </c>
      <c r="J193" s="505"/>
      <c r="K193" s="609" t="s">
        <v>398</v>
      </c>
      <c r="L193" s="1110"/>
      <c r="M193" s="1110"/>
      <c r="N193" s="1110"/>
      <c r="O193" s="1110">
        <f>+L193+M193-N193</f>
        <v>0</v>
      </c>
      <c r="P193" s="1110"/>
      <c r="Q193" s="1110"/>
      <c r="R193" s="1110"/>
      <c r="S193" s="1110"/>
      <c r="T193" s="1110"/>
      <c r="U193" s="1110"/>
      <c r="V193" s="1110"/>
      <c r="W193" s="1110"/>
      <c r="X193" s="1110"/>
      <c r="Y193" s="1110"/>
      <c r="Z193" s="1110"/>
      <c r="AA193" s="1110">
        <f t="shared" si="66"/>
        <v>0</v>
      </c>
      <c r="AB193" s="1113" t="e">
        <f t="shared" si="59"/>
        <v>#DIV/0!</v>
      </c>
      <c r="AC193" s="729"/>
    </row>
    <row r="194" spans="1:29" s="1062" customFormat="1" ht="28.5" hidden="1" customHeight="1" thickTop="1" thickBot="1" x14ac:dyDescent="0.3">
      <c r="A194" s="424">
        <v>1</v>
      </c>
      <c r="B194" s="519" t="s">
        <v>216</v>
      </c>
      <c r="C194" s="519" t="s">
        <v>216</v>
      </c>
      <c r="D194" s="519" t="s">
        <v>231</v>
      </c>
      <c r="E194" s="519" t="s">
        <v>361</v>
      </c>
      <c r="F194" s="519" t="s">
        <v>391</v>
      </c>
      <c r="G194" s="519" t="s">
        <v>305</v>
      </c>
      <c r="H194" s="519"/>
      <c r="I194" s="519"/>
      <c r="J194" s="519"/>
      <c r="K194" s="1105" t="s">
        <v>399</v>
      </c>
      <c r="L194" s="1106">
        <f>+L195</f>
        <v>0</v>
      </c>
      <c r="M194" s="1106">
        <f t="shared" ref="M194:Z194" si="80">+M195</f>
        <v>0</v>
      </c>
      <c r="N194" s="1106">
        <f t="shared" si="80"/>
        <v>0</v>
      </c>
      <c r="O194" s="1106">
        <f t="shared" si="80"/>
        <v>0</v>
      </c>
      <c r="P194" s="1106">
        <f t="shared" si="80"/>
        <v>0</v>
      </c>
      <c r="Q194" s="1106"/>
      <c r="R194" s="1106">
        <f t="shared" si="80"/>
        <v>0</v>
      </c>
      <c r="S194" s="1106"/>
      <c r="T194" s="1106">
        <f t="shared" si="80"/>
        <v>0</v>
      </c>
      <c r="U194" s="1106"/>
      <c r="V194" s="1106">
        <f t="shared" si="80"/>
        <v>0</v>
      </c>
      <c r="W194" s="1106"/>
      <c r="X194" s="1106">
        <f t="shared" si="80"/>
        <v>0</v>
      </c>
      <c r="Y194" s="1106">
        <f t="shared" si="80"/>
        <v>0</v>
      </c>
      <c r="Z194" s="1106">
        <f t="shared" si="80"/>
        <v>0</v>
      </c>
      <c r="AA194" s="1106">
        <f t="shared" si="66"/>
        <v>0</v>
      </c>
      <c r="AB194" s="1107" t="e">
        <f t="shared" si="59"/>
        <v>#DIV/0!</v>
      </c>
      <c r="AC194" s="522"/>
    </row>
    <row r="195" spans="1:29" s="1062" customFormat="1" ht="38.25" hidden="1" customHeight="1" thickTop="1" thickBot="1" x14ac:dyDescent="0.3">
      <c r="A195" s="424">
        <v>1</v>
      </c>
      <c r="B195" s="519" t="s">
        <v>216</v>
      </c>
      <c r="C195" s="519" t="s">
        <v>216</v>
      </c>
      <c r="D195" s="519" t="s">
        <v>231</v>
      </c>
      <c r="E195" s="519" t="s">
        <v>361</v>
      </c>
      <c r="F195" s="519" t="s">
        <v>391</v>
      </c>
      <c r="G195" s="519" t="s">
        <v>305</v>
      </c>
      <c r="H195" s="519" t="s">
        <v>305</v>
      </c>
      <c r="I195" s="519"/>
      <c r="J195" s="519"/>
      <c r="K195" s="1105" t="s">
        <v>400</v>
      </c>
      <c r="L195" s="1106">
        <f>SUM(L196:L198)</f>
        <v>0</v>
      </c>
      <c r="M195" s="1106">
        <f t="shared" ref="M195:Z195" si="81">SUM(M196:M198)</f>
        <v>0</v>
      </c>
      <c r="N195" s="1106">
        <f t="shared" si="81"/>
        <v>0</v>
      </c>
      <c r="O195" s="1106">
        <f t="shared" si="81"/>
        <v>0</v>
      </c>
      <c r="P195" s="1106">
        <f t="shared" si="81"/>
        <v>0</v>
      </c>
      <c r="Q195" s="1106"/>
      <c r="R195" s="1106">
        <f t="shared" si="81"/>
        <v>0</v>
      </c>
      <c r="S195" s="1106"/>
      <c r="T195" s="1106">
        <f t="shared" si="81"/>
        <v>0</v>
      </c>
      <c r="U195" s="1106"/>
      <c r="V195" s="1106">
        <f t="shared" si="81"/>
        <v>0</v>
      </c>
      <c r="W195" s="1106"/>
      <c r="X195" s="1106">
        <f t="shared" si="81"/>
        <v>0</v>
      </c>
      <c r="Y195" s="1106">
        <f t="shared" si="81"/>
        <v>0</v>
      </c>
      <c r="Z195" s="1106">
        <f t="shared" si="81"/>
        <v>0</v>
      </c>
      <c r="AA195" s="1106">
        <f t="shared" si="66"/>
        <v>0</v>
      </c>
      <c r="AB195" s="1107" t="e">
        <f t="shared" si="59"/>
        <v>#DIV/0!</v>
      </c>
      <c r="AC195" s="522"/>
    </row>
    <row r="196" spans="1:29" ht="33.75" hidden="1" customHeight="1" thickTop="1" thickBot="1" x14ac:dyDescent="0.3">
      <c r="A196" s="425">
        <v>1</v>
      </c>
      <c r="B196" s="505" t="s">
        <v>216</v>
      </c>
      <c r="C196" s="505" t="s">
        <v>216</v>
      </c>
      <c r="D196" s="505" t="s">
        <v>231</v>
      </c>
      <c r="E196" s="505" t="s">
        <v>361</v>
      </c>
      <c r="F196" s="505" t="s">
        <v>391</v>
      </c>
      <c r="G196" s="505" t="s">
        <v>305</v>
      </c>
      <c r="H196" s="505" t="s">
        <v>305</v>
      </c>
      <c r="I196" s="505" t="s">
        <v>216</v>
      </c>
      <c r="J196" s="505"/>
      <c r="K196" s="609" t="s">
        <v>401</v>
      </c>
      <c r="L196" s="1110"/>
      <c r="M196" s="1110"/>
      <c r="N196" s="1110"/>
      <c r="O196" s="1110">
        <f>+L196+M196-N196</f>
        <v>0</v>
      </c>
      <c r="P196" s="1110"/>
      <c r="Q196" s="1110"/>
      <c r="R196" s="1110"/>
      <c r="S196" s="1110"/>
      <c r="T196" s="1110"/>
      <c r="U196" s="1110"/>
      <c r="V196" s="1110"/>
      <c r="W196" s="1110"/>
      <c r="X196" s="1110"/>
      <c r="Y196" s="1110"/>
      <c r="Z196" s="1110"/>
      <c r="AA196" s="1110">
        <f t="shared" si="66"/>
        <v>0</v>
      </c>
      <c r="AB196" s="1113" t="e">
        <f t="shared" ref="AB196:AB259" si="82">+AA196/X196</f>
        <v>#DIV/0!</v>
      </c>
      <c r="AC196" s="729"/>
    </row>
    <row r="197" spans="1:29" ht="33" hidden="1" customHeight="1" thickTop="1" thickBot="1" x14ac:dyDescent="0.3">
      <c r="A197" s="425">
        <v>1</v>
      </c>
      <c r="B197" s="505" t="s">
        <v>216</v>
      </c>
      <c r="C197" s="505" t="s">
        <v>216</v>
      </c>
      <c r="D197" s="505" t="s">
        <v>231</v>
      </c>
      <c r="E197" s="505" t="s">
        <v>361</v>
      </c>
      <c r="F197" s="505" t="s">
        <v>391</v>
      </c>
      <c r="G197" s="505" t="s">
        <v>305</v>
      </c>
      <c r="H197" s="505" t="s">
        <v>305</v>
      </c>
      <c r="I197" s="505" t="s">
        <v>227</v>
      </c>
      <c r="J197" s="505"/>
      <c r="K197" s="609" t="s">
        <v>402</v>
      </c>
      <c r="L197" s="1110"/>
      <c r="M197" s="1110"/>
      <c r="N197" s="1110"/>
      <c r="O197" s="1110">
        <f>+L197+M197-N197</f>
        <v>0</v>
      </c>
      <c r="P197" s="1110"/>
      <c r="Q197" s="1110"/>
      <c r="R197" s="1110"/>
      <c r="S197" s="1110"/>
      <c r="T197" s="1110"/>
      <c r="U197" s="1110"/>
      <c r="V197" s="1110"/>
      <c r="W197" s="1110"/>
      <c r="X197" s="1110"/>
      <c r="Y197" s="1110"/>
      <c r="Z197" s="1110"/>
      <c r="AA197" s="1110">
        <f t="shared" si="66"/>
        <v>0</v>
      </c>
      <c r="AB197" s="1113" t="e">
        <f t="shared" si="82"/>
        <v>#DIV/0!</v>
      </c>
      <c r="AC197" s="729"/>
    </row>
    <row r="198" spans="1:29" ht="35.25" hidden="1" customHeight="1" thickTop="1" thickBot="1" x14ac:dyDescent="0.3">
      <c r="A198" s="425">
        <v>1</v>
      </c>
      <c r="B198" s="505" t="s">
        <v>216</v>
      </c>
      <c r="C198" s="505" t="s">
        <v>216</v>
      </c>
      <c r="D198" s="505" t="s">
        <v>231</v>
      </c>
      <c r="E198" s="505" t="s">
        <v>361</v>
      </c>
      <c r="F198" s="505" t="s">
        <v>391</v>
      </c>
      <c r="G198" s="505" t="s">
        <v>305</v>
      </c>
      <c r="H198" s="505" t="s">
        <v>305</v>
      </c>
      <c r="I198" s="505" t="s">
        <v>229</v>
      </c>
      <c r="J198" s="505"/>
      <c r="K198" s="609" t="s">
        <v>403</v>
      </c>
      <c r="L198" s="1110"/>
      <c r="M198" s="1110"/>
      <c r="N198" s="1110"/>
      <c r="O198" s="1110">
        <f>+L198+M198-N198</f>
        <v>0</v>
      </c>
      <c r="P198" s="1110"/>
      <c r="Q198" s="1110"/>
      <c r="R198" s="1110"/>
      <c r="S198" s="1110"/>
      <c r="T198" s="1110"/>
      <c r="U198" s="1110"/>
      <c r="V198" s="1110"/>
      <c r="W198" s="1110"/>
      <c r="X198" s="1110"/>
      <c r="Y198" s="1110"/>
      <c r="Z198" s="1110"/>
      <c r="AA198" s="1110">
        <f t="shared" si="66"/>
        <v>0</v>
      </c>
      <c r="AB198" s="1113" t="e">
        <f t="shared" si="82"/>
        <v>#DIV/0!</v>
      </c>
      <c r="AC198" s="729"/>
    </row>
    <row r="199" spans="1:29" s="1062" customFormat="1" ht="2.25" hidden="1" customHeight="1" thickTop="1" thickBot="1" x14ac:dyDescent="0.3">
      <c r="A199" s="424">
        <v>1</v>
      </c>
      <c r="B199" s="424">
        <v>1</v>
      </c>
      <c r="C199" s="519" t="s">
        <v>216</v>
      </c>
      <c r="D199" s="424">
        <v>2</v>
      </c>
      <c r="E199" s="519" t="s">
        <v>361</v>
      </c>
      <c r="F199" s="519" t="s">
        <v>404</v>
      </c>
      <c r="G199" s="519"/>
      <c r="H199" s="519"/>
      <c r="I199" s="519"/>
      <c r="J199" s="519"/>
      <c r="K199" s="1105" t="s">
        <v>405</v>
      </c>
      <c r="L199" s="1106">
        <f>+L200</f>
        <v>0</v>
      </c>
      <c r="M199" s="1106">
        <f t="shared" ref="M199:Z200" si="83">+M200</f>
        <v>0</v>
      </c>
      <c r="N199" s="1106">
        <f t="shared" si="83"/>
        <v>0</v>
      </c>
      <c r="O199" s="1106">
        <f t="shared" si="83"/>
        <v>0</v>
      </c>
      <c r="P199" s="1106">
        <f t="shared" si="83"/>
        <v>0</v>
      </c>
      <c r="Q199" s="1106"/>
      <c r="R199" s="1106">
        <f t="shared" si="83"/>
        <v>0</v>
      </c>
      <c r="S199" s="1106"/>
      <c r="T199" s="1106">
        <f t="shared" si="83"/>
        <v>0</v>
      </c>
      <c r="U199" s="1106"/>
      <c r="V199" s="1106">
        <f t="shared" si="83"/>
        <v>0</v>
      </c>
      <c r="W199" s="1106"/>
      <c r="X199" s="1106">
        <f t="shared" si="83"/>
        <v>0</v>
      </c>
      <c r="Y199" s="1106">
        <f t="shared" si="83"/>
        <v>0</v>
      </c>
      <c r="Z199" s="1106">
        <f t="shared" si="83"/>
        <v>0</v>
      </c>
      <c r="AA199" s="1106">
        <f t="shared" si="66"/>
        <v>0</v>
      </c>
      <c r="AB199" s="1107" t="e">
        <f t="shared" si="82"/>
        <v>#DIV/0!</v>
      </c>
      <c r="AC199" s="522"/>
    </row>
    <row r="200" spans="1:29" s="1062" customFormat="1" ht="42.75" hidden="1" customHeight="1" thickTop="1" thickBot="1" x14ac:dyDescent="0.3">
      <c r="A200" s="424">
        <v>1</v>
      </c>
      <c r="B200" s="424">
        <v>1</v>
      </c>
      <c r="C200" s="519" t="s">
        <v>216</v>
      </c>
      <c r="D200" s="424">
        <v>2</v>
      </c>
      <c r="E200" s="519" t="s">
        <v>361</v>
      </c>
      <c r="F200" s="519" t="s">
        <v>404</v>
      </c>
      <c r="G200" s="519" t="s">
        <v>231</v>
      </c>
      <c r="H200" s="519"/>
      <c r="I200" s="519"/>
      <c r="J200" s="519"/>
      <c r="K200" s="1105" t="s">
        <v>406</v>
      </c>
      <c r="L200" s="1106">
        <f>+L201</f>
        <v>0</v>
      </c>
      <c r="M200" s="1106">
        <f t="shared" si="83"/>
        <v>0</v>
      </c>
      <c r="N200" s="1106">
        <f t="shared" si="83"/>
        <v>0</v>
      </c>
      <c r="O200" s="1106">
        <f t="shared" si="83"/>
        <v>0</v>
      </c>
      <c r="P200" s="1106">
        <f t="shared" si="83"/>
        <v>0</v>
      </c>
      <c r="Q200" s="1106"/>
      <c r="R200" s="1106">
        <f t="shared" si="83"/>
        <v>0</v>
      </c>
      <c r="S200" s="1106"/>
      <c r="T200" s="1106">
        <f t="shared" si="83"/>
        <v>0</v>
      </c>
      <c r="U200" s="1106"/>
      <c r="V200" s="1106">
        <f t="shared" si="83"/>
        <v>0</v>
      </c>
      <c r="W200" s="1106"/>
      <c r="X200" s="1106">
        <f t="shared" si="83"/>
        <v>0</v>
      </c>
      <c r="Y200" s="1106">
        <f t="shared" si="83"/>
        <v>0</v>
      </c>
      <c r="Z200" s="1106">
        <f t="shared" si="83"/>
        <v>0</v>
      </c>
      <c r="AA200" s="1106">
        <f t="shared" si="66"/>
        <v>0</v>
      </c>
      <c r="AB200" s="1107" t="e">
        <f t="shared" si="82"/>
        <v>#DIV/0!</v>
      </c>
      <c r="AC200" s="522"/>
    </row>
    <row r="201" spans="1:29" s="1062" customFormat="1" ht="27.75" hidden="1" customHeight="1" thickTop="1" thickBot="1" x14ac:dyDescent="0.3">
      <c r="A201" s="424">
        <v>1</v>
      </c>
      <c r="B201" s="424">
        <v>1</v>
      </c>
      <c r="C201" s="519" t="s">
        <v>216</v>
      </c>
      <c r="D201" s="424">
        <v>2</v>
      </c>
      <c r="E201" s="519" t="s">
        <v>361</v>
      </c>
      <c r="F201" s="519" t="s">
        <v>404</v>
      </c>
      <c r="G201" s="519" t="s">
        <v>231</v>
      </c>
      <c r="H201" s="519" t="s">
        <v>305</v>
      </c>
      <c r="I201" s="519"/>
      <c r="J201" s="519"/>
      <c r="K201" s="1105" t="s">
        <v>407</v>
      </c>
      <c r="L201" s="1106">
        <f>SUM(L202:L204)</f>
        <v>0</v>
      </c>
      <c r="M201" s="1106">
        <f t="shared" ref="M201:Z201" si="84">SUM(M202:M204)</f>
        <v>0</v>
      </c>
      <c r="N201" s="1106">
        <f t="shared" si="84"/>
        <v>0</v>
      </c>
      <c r="O201" s="1106">
        <f t="shared" si="84"/>
        <v>0</v>
      </c>
      <c r="P201" s="1106">
        <f t="shared" si="84"/>
        <v>0</v>
      </c>
      <c r="Q201" s="1106"/>
      <c r="R201" s="1106">
        <f t="shared" si="84"/>
        <v>0</v>
      </c>
      <c r="S201" s="1106"/>
      <c r="T201" s="1106">
        <f t="shared" si="84"/>
        <v>0</v>
      </c>
      <c r="U201" s="1106"/>
      <c r="V201" s="1106">
        <f t="shared" si="84"/>
        <v>0</v>
      </c>
      <c r="W201" s="1106"/>
      <c r="X201" s="1106">
        <f t="shared" si="84"/>
        <v>0</v>
      </c>
      <c r="Y201" s="1106">
        <f t="shared" si="84"/>
        <v>0</v>
      </c>
      <c r="Z201" s="1106">
        <f t="shared" si="84"/>
        <v>0</v>
      </c>
      <c r="AA201" s="1106">
        <f t="shared" si="66"/>
        <v>0</v>
      </c>
      <c r="AB201" s="1107" t="e">
        <f t="shared" si="82"/>
        <v>#DIV/0!</v>
      </c>
      <c r="AC201" s="522"/>
    </row>
    <row r="202" spans="1:29" ht="33.75" hidden="1" customHeight="1" thickTop="1" thickBot="1" x14ac:dyDescent="0.3">
      <c r="A202" s="425">
        <v>1</v>
      </c>
      <c r="B202" s="425">
        <v>1</v>
      </c>
      <c r="C202" s="505" t="s">
        <v>216</v>
      </c>
      <c r="D202" s="425">
        <v>2</v>
      </c>
      <c r="E202" s="505" t="s">
        <v>361</v>
      </c>
      <c r="F202" s="505" t="s">
        <v>404</v>
      </c>
      <c r="G202" s="505" t="s">
        <v>231</v>
      </c>
      <c r="H202" s="505" t="s">
        <v>305</v>
      </c>
      <c r="I202" s="505" t="s">
        <v>216</v>
      </c>
      <c r="J202" s="505"/>
      <c r="K202" s="609" t="s">
        <v>408</v>
      </c>
      <c r="L202" s="1110"/>
      <c r="M202" s="1110"/>
      <c r="N202" s="1110"/>
      <c r="O202" s="1110">
        <f>+L202+M202-N202</f>
        <v>0</v>
      </c>
      <c r="P202" s="1110"/>
      <c r="Q202" s="1110"/>
      <c r="R202" s="1110"/>
      <c r="S202" s="1110"/>
      <c r="T202" s="1110"/>
      <c r="U202" s="1110"/>
      <c r="V202" s="1110"/>
      <c r="W202" s="1110"/>
      <c r="X202" s="1110"/>
      <c r="Y202" s="1110"/>
      <c r="Z202" s="1110"/>
      <c r="AA202" s="1110">
        <f t="shared" si="66"/>
        <v>0</v>
      </c>
      <c r="AB202" s="1113" t="e">
        <f t="shared" si="82"/>
        <v>#DIV/0!</v>
      </c>
      <c r="AC202" s="729"/>
    </row>
    <row r="203" spans="1:29" ht="31.5" hidden="1" customHeight="1" thickTop="1" thickBot="1" x14ac:dyDescent="0.3">
      <c r="A203" s="425">
        <v>1</v>
      </c>
      <c r="B203" s="425">
        <v>1</v>
      </c>
      <c r="C203" s="505" t="s">
        <v>216</v>
      </c>
      <c r="D203" s="425">
        <v>2</v>
      </c>
      <c r="E203" s="505" t="s">
        <v>361</v>
      </c>
      <c r="F203" s="505" t="s">
        <v>404</v>
      </c>
      <c r="G203" s="505" t="s">
        <v>231</v>
      </c>
      <c r="H203" s="505" t="s">
        <v>305</v>
      </c>
      <c r="I203" s="505" t="s">
        <v>227</v>
      </c>
      <c r="J203" s="505"/>
      <c r="K203" s="609" t="s">
        <v>409</v>
      </c>
      <c r="L203" s="1110"/>
      <c r="M203" s="1110"/>
      <c r="N203" s="1110"/>
      <c r="O203" s="1110">
        <f>+L203+M203-N203</f>
        <v>0</v>
      </c>
      <c r="P203" s="1110"/>
      <c r="Q203" s="1110"/>
      <c r="R203" s="1110"/>
      <c r="S203" s="1110"/>
      <c r="T203" s="1110"/>
      <c r="U203" s="1110"/>
      <c r="V203" s="1110"/>
      <c r="W203" s="1110"/>
      <c r="X203" s="1110"/>
      <c r="Y203" s="1110"/>
      <c r="Z203" s="1110"/>
      <c r="AA203" s="1110">
        <f t="shared" si="66"/>
        <v>0</v>
      </c>
      <c r="AB203" s="1113" t="e">
        <f t="shared" si="82"/>
        <v>#DIV/0!</v>
      </c>
      <c r="AC203" s="729"/>
    </row>
    <row r="204" spans="1:29" ht="22.5" hidden="1" customHeight="1" thickTop="1" thickBot="1" x14ac:dyDescent="0.3">
      <c r="A204" s="425">
        <v>1</v>
      </c>
      <c r="B204" s="425">
        <v>1</v>
      </c>
      <c r="C204" s="505" t="s">
        <v>216</v>
      </c>
      <c r="D204" s="425">
        <v>2</v>
      </c>
      <c r="E204" s="505" t="s">
        <v>361</v>
      </c>
      <c r="F204" s="505" t="s">
        <v>404</v>
      </c>
      <c r="G204" s="505" t="s">
        <v>231</v>
      </c>
      <c r="H204" s="505" t="s">
        <v>305</v>
      </c>
      <c r="I204" s="505" t="s">
        <v>229</v>
      </c>
      <c r="J204" s="505"/>
      <c r="K204" s="609" t="s">
        <v>410</v>
      </c>
      <c r="L204" s="1110"/>
      <c r="M204" s="1110"/>
      <c r="N204" s="1110"/>
      <c r="O204" s="1110">
        <f>+L204+M204-N204</f>
        <v>0</v>
      </c>
      <c r="P204" s="1110"/>
      <c r="Q204" s="1110"/>
      <c r="R204" s="1110"/>
      <c r="S204" s="1110"/>
      <c r="T204" s="1110"/>
      <c r="U204" s="1110"/>
      <c r="V204" s="1110"/>
      <c r="W204" s="1110"/>
      <c r="X204" s="1110"/>
      <c r="Y204" s="1110"/>
      <c r="Z204" s="1110"/>
      <c r="AA204" s="1110">
        <f t="shared" si="66"/>
        <v>0</v>
      </c>
      <c r="AB204" s="1113" t="e">
        <f t="shared" si="82"/>
        <v>#DIV/0!</v>
      </c>
      <c r="AC204" s="729"/>
    </row>
    <row r="205" spans="1:29" s="1062" customFormat="1" ht="32.25" hidden="1" customHeight="1" thickTop="1" thickBot="1" x14ac:dyDescent="0.3">
      <c r="A205" s="424">
        <v>1</v>
      </c>
      <c r="B205" s="424">
        <v>1</v>
      </c>
      <c r="C205" s="519" t="s">
        <v>216</v>
      </c>
      <c r="D205" s="424">
        <v>2</v>
      </c>
      <c r="E205" s="519" t="s">
        <v>361</v>
      </c>
      <c r="F205" s="519" t="s">
        <v>411</v>
      </c>
      <c r="G205" s="519"/>
      <c r="H205" s="519"/>
      <c r="I205" s="519"/>
      <c r="J205" s="519"/>
      <c r="K205" s="1105" t="s">
        <v>412</v>
      </c>
      <c r="L205" s="1106">
        <f>+L206</f>
        <v>0</v>
      </c>
      <c r="M205" s="1106">
        <f t="shared" ref="M205:Z205" si="85">+M206</f>
        <v>0</v>
      </c>
      <c r="N205" s="1106">
        <f t="shared" si="85"/>
        <v>0</v>
      </c>
      <c r="O205" s="1106">
        <f t="shared" si="85"/>
        <v>0</v>
      </c>
      <c r="P205" s="1106">
        <f t="shared" si="85"/>
        <v>0</v>
      </c>
      <c r="Q205" s="1106"/>
      <c r="R205" s="1106">
        <f t="shared" si="85"/>
        <v>0</v>
      </c>
      <c r="S205" s="1106"/>
      <c r="T205" s="1106">
        <f t="shared" si="85"/>
        <v>0</v>
      </c>
      <c r="U205" s="1106"/>
      <c r="V205" s="1106">
        <f t="shared" si="85"/>
        <v>0</v>
      </c>
      <c r="W205" s="1106"/>
      <c r="X205" s="1106">
        <f t="shared" si="85"/>
        <v>0</v>
      </c>
      <c r="Y205" s="1106">
        <f t="shared" si="85"/>
        <v>0</v>
      </c>
      <c r="Z205" s="1106">
        <f t="shared" si="85"/>
        <v>0</v>
      </c>
      <c r="AA205" s="1106">
        <f t="shared" si="66"/>
        <v>0</v>
      </c>
      <c r="AB205" s="1107" t="e">
        <f t="shared" si="82"/>
        <v>#DIV/0!</v>
      </c>
      <c r="AC205" s="522"/>
    </row>
    <row r="206" spans="1:29" s="1062" customFormat="1" ht="39.75" hidden="1" customHeight="1" thickTop="1" thickBot="1" x14ac:dyDescent="0.3">
      <c r="A206" s="424">
        <v>1</v>
      </c>
      <c r="B206" s="424">
        <v>1</v>
      </c>
      <c r="C206" s="519" t="s">
        <v>216</v>
      </c>
      <c r="D206" s="424">
        <v>2</v>
      </c>
      <c r="E206" s="519" t="s">
        <v>361</v>
      </c>
      <c r="F206" s="519" t="s">
        <v>411</v>
      </c>
      <c r="G206" s="519" t="s">
        <v>220</v>
      </c>
      <c r="H206" s="519"/>
      <c r="I206" s="519"/>
      <c r="J206" s="519"/>
      <c r="K206" s="1105" t="s">
        <v>413</v>
      </c>
      <c r="L206" s="1106">
        <f>+L207+L211+L215</f>
        <v>0</v>
      </c>
      <c r="M206" s="1106">
        <f t="shared" ref="M206:Z206" si="86">+M207+M211+M215</f>
        <v>0</v>
      </c>
      <c r="N206" s="1106">
        <f t="shared" si="86"/>
        <v>0</v>
      </c>
      <c r="O206" s="1106">
        <f t="shared" si="86"/>
        <v>0</v>
      </c>
      <c r="P206" s="1106">
        <f t="shared" si="86"/>
        <v>0</v>
      </c>
      <c r="Q206" s="1106"/>
      <c r="R206" s="1106">
        <f t="shared" si="86"/>
        <v>0</v>
      </c>
      <c r="S206" s="1106"/>
      <c r="T206" s="1106">
        <f t="shared" si="86"/>
        <v>0</v>
      </c>
      <c r="U206" s="1106"/>
      <c r="V206" s="1106">
        <f t="shared" si="86"/>
        <v>0</v>
      </c>
      <c r="W206" s="1106"/>
      <c r="X206" s="1106">
        <f t="shared" si="86"/>
        <v>0</v>
      </c>
      <c r="Y206" s="1106">
        <f t="shared" si="86"/>
        <v>0</v>
      </c>
      <c r="Z206" s="1106">
        <f t="shared" si="86"/>
        <v>0</v>
      </c>
      <c r="AA206" s="1106">
        <f t="shared" si="66"/>
        <v>0</v>
      </c>
      <c r="AB206" s="1107" t="e">
        <f t="shared" si="82"/>
        <v>#DIV/0!</v>
      </c>
      <c r="AC206" s="522"/>
    </row>
    <row r="207" spans="1:29" s="1062" customFormat="1" ht="42" hidden="1" customHeight="1" thickTop="1" thickBot="1" x14ac:dyDescent="0.3">
      <c r="A207" s="424">
        <v>1</v>
      </c>
      <c r="B207" s="424">
        <v>1</v>
      </c>
      <c r="C207" s="519" t="s">
        <v>216</v>
      </c>
      <c r="D207" s="424">
        <v>2</v>
      </c>
      <c r="E207" s="519" t="s">
        <v>361</v>
      </c>
      <c r="F207" s="519" t="s">
        <v>411</v>
      </c>
      <c r="G207" s="519" t="s">
        <v>220</v>
      </c>
      <c r="H207" s="519" t="s">
        <v>220</v>
      </c>
      <c r="I207" s="519"/>
      <c r="J207" s="519"/>
      <c r="K207" s="1105" t="s">
        <v>414</v>
      </c>
      <c r="L207" s="1106">
        <f>SUM(L208:L210)</f>
        <v>0</v>
      </c>
      <c r="M207" s="1106">
        <f t="shared" ref="M207:Z207" si="87">SUM(M208:M210)</f>
        <v>0</v>
      </c>
      <c r="N207" s="1106">
        <f t="shared" si="87"/>
        <v>0</v>
      </c>
      <c r="O207" s="1106">
        <f t="shared" si="87"/>
        <v>0</v>
      </c>
      <c r="P207" s="1106">
        <f t="shared" si="87"/>
        <v>0</v>
      </c>
      <c r="Q207" s="1106"/>
      <c r="R207" s="1106">
        <f t="shared" si="87"/>
        <v>0</v>
      </c>
      <c r="S207" s="1106"/>
      <c r="T207" s="1106">
        <f t="shared" si="87"/>
        <v>0</v>
      </c>
      <c r="U207" s="1106"/>
      <c r="V207" s="1106">
        <f t="shared" si="87"/>
        <v>0</v>
      </c>
      <c r="W207" s="1106"/>
      <c r="X207" s="1106">
        <f t="shared" si="87"/>
        <v>0</v>
      </c>
      <c r="Y207" s="1106">
        <f t="shared" si="87"/>
        <v>0</v>
      </c>
      <c r="Z207" s="1106">
        <f t="shared" si="87"/>
        <v>0</v>
      </c>
      <c r="AA207" s="1106">
        <f t="shared" si="66"/>
        <v>0</v>
      </c>
      <c r="AB207" s="1107" t="e">
        <f t="shared" si="82"/>
        <v>#DIV/0!</v>
      </c>
      <c r="AC207" s="522"/>
    </row>
    <row r="208" spans="1:29" ht="32.25" hidden="1" customHeight="1" thickTop="1" thickBot="1" x14ac:dyDescent="0.3">
      <c r="A208" s="425">
        <v>1</v>
      </c>
      <c r="B208" s="425">
        <v>1</v>
      </c>
      <c r="C208" s="505" t="s">
        <v>216</v>
      </c>
      <c r="D208" s="425">
        <v>2</v>
      </c>
      <c r="E208" s="505" t="s">
        <v>361</v>
      </c>
      <c r="F208" s="505" t="s">
        <v>411</v>
      </c>
      <c r="G208" s="505" t="s">
        <v>220</v>
      </c>
      <c r="H208" s="505" t="s">
        <v>220</v>
      </c>
      <c r="I208" s="505" t="s">
        <v>216</v>
      </c>
      <c r="J208" s="505"/>
      <c r="K208" s="609" t="s">
        <v>415</v>
      </c>
      <c r="L208" s="1110"/>
      <c r="M208" s="1110"/>
      <c r="N208" s="1110"/>
      <c r="O208" s="1110">
        <f>+L208+M208-N208</f>
        <v>0</v>
      </c>
      <c r="P208" s="1110"/>
      <c r="Q208" s="1110"/>
      <c r="R208" s="1110"/>
      <c r="S208" s="1110"/>
      <c r="T208" s="1110"/>
      <c r="U208" s="1110"/>
      <c r="V208" s="1110"/>
      <c r="W208" s="1110"/>
      <c r="X208" s="1110"/>
      <c r="Y208" s="1110"/>
      <c r="Z208" s="1110"/>
      <c r="AA208" s="1110">
        <f t="shared" si="66"/>
        <v>0</v>
      </c>
      <c r="AB208" s="1113" t="e">
        <f t="shared" si="82"/>
        <v>#DIV/0!</v>
      </c>
      <c r="AC208" s="729"/>
    </row>
    <row r="209" spans="1:29" ht="30.75" hidden="1" customHeight="1" thickTop="1" thickBot="1" x14ac:dyDescent="0.3">
      <c r="A209" s="425">
        <v>1</v>
      </c>
      <c r="B209" s="425">
        <v>1</v>
      </c>
      <c r="C209" s="505" t="s">
        <v>216</v>
      </c>
      <c r="D209" s="425">
        <v>2</v>
      </c>
      <c r="E209" s="505" t="s">
        <v>361</v>
      </c>
      <c r="F209" s="505" t="s">
        <v>411</v>
      </c>
      <c r="G209" s="505" t="s">
        <v>220</v>
      </c>
      <c r="H209" s="505" t="s">
        <v>220</v>
      </c>
      <c r="I209" s="505" t="s">
        <v>227</v>
      </c>
      <c r="J209" s="505"/>
      <c r="K209" s="609" t="s">
        <v>416</v>
      </c>
      <c r="L209" s="1110"/>
      <c r="M209" s="1110"/>
      <c r="N209" s="1110"/>
      <c r="O209" s="1110">
        <f>+L209+M209-N209</f>
        <v>0</v>
      </c>
      <c r="P209" s="1110"/>
      <c r="Q209" s="1110"/>
      <c r="R209" s="1110"/>
      <c r="S209" s="1110"/>
      <c r="T209" s="1110"/>
      <c r="U209" s="1110"/>
      <c r="V209" s="1110"/>
      <c r="W209" s="1110"/>
      <c r="X209" s="1110"/>
      <c r="Y209" s="1110"/>
      <c r="Z209" s="1110"/>
      <c r="AA209" s="1110">
        <f t="shared" si="66"/>
        <v>0</v>
      </c>
      <c r="AB209" s="1113" t="e">
        <f t="shared" si="82"/>
        <v>#DIV/0!</v>
      </c>
      <c r="AC209" s="729"/>
    </row>
    <row r="210" spans="1:29" ht="33" hidden="1" customHeight="1" thickTop="1" thickBot="1" x14ac:dyDescent="0.3">
      <c r="A210" s="425">
        <v>1</v>
      </c>
      <c r="B210" s="425">
        <v>1</v>
      </c>
      <c r="C210" s="505" t="s">
        <v>216</v>
      </c>
      <c r="D210" s="425">
        <v>2</v>
      </c>
      <c r="E210" s="505" t="s">
        <v>361</v>
      </c>
      <c r="F210" s="505" t="s">
        <v>411</v>
      </c>
      <c r="G210" s="505" t="s">
        <v>220</v>
      </c>
      <c r="H210" s="505" t="s">
        <v>220</v>
      </c>
      <c r="I210" s="505" t="s">
        <v>229</v>
      </c>
      <c r="J210" s="505"/>
      <c r="K210" s="609" t="s">
        <v>417</v>
      </c>
      <c r="L210" s="1110"/>
      <c r="M210" s="1110"/>
      <c r="N210" s="1110"/>
      <c r="O210" s="1110">
        <f>+L210+M210-N210</f>
        <v>0</v>
      </c>
      <c r="P210" s="1110"/>
      <c r="Q210" s="1110"/>
      <c r="R210" s="1110"/>
      <c r="S210" s="1110"/>
      <c r="T210" s="1110"/>
      <c r="U210" s="1110"/>
      <c r="V210" s="1110"/>
      <c r="W210" s="1110"/>
      <c r="X210" s="1110"/>
      <c r="Y210" s="1110"/>
      <c r="Z210" s="1110"/>
      <c r="AA210" s="1110">
        <f t="shared" si="66"/>
        <v>0</v>
      </c>
      <c r="AB210" s="1113" t="e">
        <f t="shared" si="82"/>
        <v>#DIV/0!</v>
      </c>
      <c r="AC210" s="729"/>
    </row>
    <row r="211" spans="1:29" s="1062" customFormat="1" ht="0.75" hidden="1" customHeight="1" thickTop="1" thickBot="1" x14ac:dyDescent="0.3">
      <c r="A211" s="424">
        <v>1</v>
      </c>
      <c r="B211" s="424">
        <v>1</v>
      </c>
      <c r="C211" s="519" t="s">
        <v>216</v>
      </c>
      <c r="D211" s="424">
        <v>2</v>
      </c>
      <c r="E211" s="519" t="s">
        <v>361</v>
      </c>
      <c r="F211" s="519" t="s">
        <v>411</v>
      </c>
      <c r="G211" s="519" t="s">
        <v>220</v>
      </c>
      <c r="H211" s="519" t="s">
        <v>231</v>
      </c>
      <c r="I211" s="519"/>
      <c r="J211" s="519"/>
      <c r="K211" s="1105" t="s">
        <v>418</v>
      </c>
      <c r="L211" s="1106">
        <f>SUM(L212:L214)</f>
        <v>0</v>
      </c>
      <c r="M211" s="1106">
        <f t="shared" ref="M211:Z211" si="88">SUM(M212:M214)</f>
        <v>0</v>
      </c>
      <c r="N211" s="1106">
        <f t="shared" si="88"/>
        <v>0</v>
      </c>
      <c r="O211" s="1106">
        <f t="shared" si="88"/>
        <v>0</v>
      </c>
      <c r="P211" s="1106">
        <f t="shared" si="88"/>
        <v>0</v>
      </c>
      <c r="Q211" s="1106"/>
      <c r="R211" s="1106">
        <f t="shared" si="88"/>
        <v>0</v>
      </c>
      <c r="S211" s="1106"/>
      <c r="T211" s="1106">
        <f t="shared" si="88"/>
        <v>0</v>
      </c>
      <c r="U211" s="1106"/>
      <c r="V211" s="1106">
        <f t="shared" si="88"/>
        <v>0</v>
      </c>
      <c r="W211" s="1106"/>
      <c r="X211" s="1106">
        <f t="shared" si="88"/>
        <v>0</v>
      </c>
      <c r="Y211" s="1106">
        <f t="shared" si="88"/>
        <v>0</v>
      </c>
      <c r="Z211" s="1106">
        <f t="shared" si="88"/>
        <v>0</v>
      </c>
      <c r="AA211" s="1106">
        <f t="shared" si="66"/>
        <v>0</v>
      </c>
      <c r="AB211" s="1107" t="e">
        <f t="shared" si="82"/>
        <v>#DIV/0!</v>
      </c>
      <c r="AC211" s="522"/>
    </row>
    <row r="212" spans="1:29" ht="23.25" hidden="1" customHeight="1" thickTop="1" thickBot="1" x14ac:dyDescent="0.3">
      <c r="A212" s="425">
        <v>1</v>
      </c>
      <c r="B212" s="425">
        <v>1</v>
      </c>
      <c r="C212" s="505" t="s">
        <v>216</v>
      </c>
      <c r="D212" s="425">
        <v>2</v>
      </c>
      <c r="E212" s="505" t="s">
        <v>361</v>
      </c>
      <c r="F212" s="505" t="s">
        <v>411</v>
      </c>
      <c r="G212" s="505" t="s">
        <v>220</v>
      </c>
      <c r="H212" s="505" t="s">
        <v>231</v>
      </c>
      <c r="I212" s="505" t="s">
        <v>216</v>
      </c>
      <c r="J212" s="505"/>
      <c r="K212" s="609" t="s">
        <v>419</v>
      </c>
      <c r="L212" s="1110"/>
      <c r="M212" s="1110"/>
      <c r="N212" s="1110"/>
      <c r="O212" s="1110">
        <f>+L212+M212-N212</f>
        <v>0</v>
      </c>
      <c r="P212" s="1110"/>
      <c r="Q212" s="1110"/>
      <c r="R212" s="1110"/>
      <c r="S212" s="1110"/>
      <c r="T212" s="1110"/>
      <c r="U212" s="1110"/>
      <c r="V212" s="1110"/>
      <c r="W212" s="1110"/>
      <c r="X212" s="1110"/>
      <c r="Y212" s="1110"/>
      <c r="Z212" s="1110"/>
      <c r="AA212" s="1110">
        <f t="shared" si="66"/>
        <v>0</v>
      </c>
      <c r="AB212" s="1113" t="e">
        <f t="shared" si="82"/>
        <v>#DIV/0!</v>
      </c>
      <c r="AC212" s="729"/>
    </row>
    <row r="213" spans="1:29" ht="28.5" hidden="1" customHeight="1" thickTop="1" thickBot="1" x14ac:dyDescent="0.3">
      <c r="A213" s="425">
        <v>1</v>
      </c>
      <c r="B213" s="425">
        <v>1</v>
      </c>
      <c r="C213" s="505" t="s">
        <v>216</v>
      </c>
      <c r="D213" s="425">
        <v>2</v>
      </c>
      <c r="E213" s="505" t="s">
        <v>361</v>
      </c>
      <c r="F213" s="505" t="s">
        <v>411</v>
      </c>
      <c r="G213" s="505" t="s">
        <v>220</v>
      </c>
      <c r="H213" s="505" t="s">
        <v>231</v>
      </c>
      <c r="I213" s="505" t="s">
        <v>227</v>
      </c>
      <c r="J213" s="505"/>
      <c r="K213" s="609" t="s">
        <v>420</v>
      </c>
      <c r="L213" s="1110"/>
      <c r="M213" s="1110"/>
      <c r="N213" s="1110"/>
      <c r="O213" s="1110">
        <f>+L213+M213-N213</f>
        <v>0</v>
      </c>
      <c r="P213" s="1110"/>
      <c r="Q213" s="1110"/>
      <c r="R213" s="1110"/>
      <c r="S213" s="1110"/>
      <c r="T213" s="1110"/>
      <c r="U213" s="1110"/>
      <c r="V213" s="1110"/>
      <c r="W213" s="1110"/>
      <c r="X213" s="1110"/>
      <c r="Y213" s="1110"/>
      <c r="Z213" s="1110"/>
      <c r="AA213" s="1110">
        <f t="shared" si="66"/>
        <v>0</v>
      </c>
      <c r="AB213" s="1113" t="e">
        <f t="shared" si="82"/>
        <v>#DIV/0!</v>
      </c>
      <c r="AC213" s="729"/>
    </row>
    <row r="214" spans="1:29" ht="28.5" hidden="1" customHeight="1" thickTop="1" thickBot="1" x14ac:dyDescent="0.3">
      <c r="A214" s="425">
        <v>1</v>
      </c>
      <c r="B214" s="425">
        <v>1</v>
      </c>
      <c r="C214" s="505" t="s">
        <v>216</v>
      </c>
      <c r="D214" s="425">
        <v>2</v>
      </c>
      <c r="E214" s="505" t="s">
        <v>361</v>
      </c>
      <c r="F214" s="505" t="s">
        <v>411</v>
      </c>
      <c r="G214" s="505" t="s">
        <v>220</v>
      </c>
      <c r="H214" s="505" t="s">
        <v>231</v>
      </c>
      <c r="I214" s="505" t="s">
        <v>229</v>
      </c>
      <c r="J214" s="505"/>
      <c r="K214" s="609" t="s">
        <v>421</v>
      </c>
      <c r="L214" s="1110"/>
      <c r="M214" s="1110"/>
      <c r="N214" s="1110"/>
      <c r="O214" s="1110">
        <f>+L214+M214-N214</f>
        <v>0</v>
      </c>
      <c r="P214" s="1110"/>
      <c r="Q214" s="1110"/>
      <c r="R214" s="1110"/>
      <c r="S214" s="1110"/>
      <c r="T214" s="1110"/>
      <c r="U214" s="1110"/>
      <c r="V214" s="1110"/>
      <c r="W214" s="1110"/>
      <c r="X214" s="1110"/>
      <c r="Y214" s="1110"/>
      <c r="Z214" s="1110"/>
      <c r="AA214" s="1110">
        <f t="shared" si="66"/>
        <v>0</v>
      </c>
      <c r="AB214" s="1113" t="e">
        <f t="shared" si="82"/>
        <v>#DIV/0!</v>
      </c>
      <c r="AC214" s="729"/>
    </row>
    <row r="215" spans="1:29" s="1062" customFormat="1" ht="30.75" hidden="1" customHeight="1" thickTop="1" thickBot="1" x14ac:dyDescent="0.3">
      <c r="A215" s="424">
        <v>1</v>
      </c>
      <c r="B215" s="424">
        <v>1</v>
      </c>
      <c r="C215" s="519" t="s">
        <v>216</v>
      </c>
      <c r="D215" s="424">
        <v>2</v>
      </c>
      <c r="E215" s="519" t="s">
        <v>361</v>
      </c>
      <c r="F215" s="519" t="s">
        <v>411</v>
      </c>
      <c r="G215" s="519" t="s">
        <v>220</v>
      </c>
      <c r="H215" s="519" t="s">
        <v>305</v>
      </c>
      <c r="I215" s="519"/>
      <c r="J215" s="519"/>
      <c r="K215" s="1105" t="s">
        <v>422</v>
      </c>
      <c r="L215" s="1106">
        <f>SUM(L216:L218)</f>
        <v>0</v>
      </c>
      <c r="M215" s="1106">
        <f t="shared" ref="M215:Z215" si="89">SUM(M216:M218)</f>
        <v>0</v>
      </c>
      <c r="N215" s="1106">
        <f t="shared" si="89"/>
        <v>0</v>
      </c>
      <c r="O215" s="1106">
        <f t="shared" si="89"/>
        <v>0</v>
      </c>
      <c r="P215" s="1106">
        <f t="shared" si="89"/>
        <v>0</v>
      </c>
      <c r="Q215" s="1106"/>
      <c r="R215" s="1106">
        <f t="shared" si="89"/>
        <v>0</v>
      </c>
      <c r="S215" s="1106"/>
      <c r="T215" s="1106">
        <f t="shared" si="89"/>
        <v>0</v>
      </c>
      <c r="U215" s="1106"/>
      <c r="V215" s="1106">
        <f t="shared" si="89"/>
        <v>0</v>
      </c>
      <c r="W215" s="1106"/>
      <c r="X215" s="1106">
        <f t="shared" si="89"/>
        <v>0</v>
      </c>
      <c r="Y215" s="1106">
        <f t="shared" si="89"/>
        <v>0</v>
      </c>
      <c r="Z215" s="1106">
        <f t="shared" si="89"/>
        <v>0</v>
      </c>
      <c r="AA215" s="1106">
        <f t="shared" si="66"/>
        <v>0</v>
      </c>
      <c r="AB215" s="1107" t="e">
        <f t="shared" si="82"/>
        <v>#DIV/0!</v>
      </c>
      <c r="AC215" s="522"/>
    </row>
    <row r="216" spans="1:29" ht="31.5" hidden="1" customHeight="1" thickTop="1" thickBot="1" x14ac:dyDescent="0.3">
      <c r="A216" s="425">
        <v>1</v>
      </c>
      <c r="B216" s="425">
        <v>1</v>
      </c>
      <c r="C216" s="505" t="s">
        <v>216</v>
      </c>
      <c r="D216" s="425">
        <v>2</v>
      </c>
      <c r="E216" s="505" t="s">
        <v>361</v>
      </c>
      <c r="F216" s="505" t="s">
        <v>411</v>
      </c>
      <c r="G216" s="505" t="s">
        <v>220</v>
      </c>
      <c r="H216" s="505" t="s">
        <v>305</v>
      </c>
      <c r="I216" s="505" t="s">
        <v>216</v>
      </c>
      <c r="J216" s="505"/>
      <c r="K216" s="609" t="s">
        <v>423</v>
      </c>
      <c r="L216" s="1110"/>
      <c r="M216" s="1110"/>
      <c r="N216" s="1110"/>
      <c r="O216" s="1110">
        <f>+L216+M216-N216</f>
        <v>0</v>
      </c>
      <c r="P216" s="1110"/>
      <c r="Q216" s="1110"/>
      <c r="R216" s="1110"/>
      <c r="S216" s="1110"/>
      <c r="T216" s="1110"/>
      <c r="U216" s="1110"/>
      <c r="V216" s="1110"/>
      <c r="W216" s="1110"/>
      <c r="X216" s="1110"/>
      <c r="Y216" s="1110"/>
      <c r="Z216" s="1110"/>
      <c r="AA216" s="1110">
        <f t="shared" si="66"/>
        <v>0</v>
      </c>
      <c r="AB216" s="1113" t="e">
        <f t="shared" si="82"/>
        <v>#DIV/0!</v>
      </c>
      <c r="AC216" s="729"/>
    </row>
    <row r="217" spans="1:29" ht="39.75" hidden="1" customHeight="1" thickTop="1" thickBot="1" x14ac:dyDescent="0.3">
      <c r="A217" s="425">
        <v>1</v>
      </c>
      <c r="B217" s="425">
        <v>1</v>
      </c>
      <c r="C217" s="505" t="s">
        <v>216</v>
      </c>
      <c r="D217" s="425">
        <v>2</v>
      </c>
      <c r="E217" s="505" t="s">
        <v>361</v>
      </c>
      <c r="F217" s="505" t="s">
        <v>411</v>
      </c>
      <c r="G217" s="505" t="s">
        <v>220</v>
      </c>
      <c r="H217" s="505" t="s">
        <v>305</v>
      </c>
      <c r="I217" s="505" t="s">
        <v>227</v>
      </c>
      <c r="J217" s="505"/>
      <c r="K217" s="609" t="s">
        <v>424</v>
      </c>
      <c r="L217" s="1110"/>
      <c r="M217" s="1110"/>
      <c r="N217" s="1110"/>
      <c r="O217" s="1110">
        <f>+L217+M217-N217</f>
        <v>0</v>
      </c>
      <c r="P217" s="1110"/>
      <c r="Q217" s="1110"/>
      <c r="R217" s="1110"/>
      <c r="S217" s="1110"/>
      <c r="T217" s="1110"/>
      <c r="U217" s="1110"/>
      <c r="V217" s="1110"/>
      <c r="W217" s="1110"/>
      <c r="X217" s="1110"/>
      <c r="Y217" s="1110"/>
      <c r="Z217" s="1110"/>
      <c r="AA217" s="1110">
        <f t="shared" si="66"/>
        <v>0</v>
      </c>
      <c r="AB217" s="1113" t="e">
        <f t="shared" si="82"/>
        <v>#DIV/0!</v>
      </c>
      <c r="AC217" s="729"/>
    </row>
    <row r="218" spans="1:29" ht="33" hidden="1" customHeight="1" thickTop="1" thickBot="1" x14ac:dyDescent="0.3">
      <c r="A218" s="425">
        <v>1</v>
      </c>
      <c r="B218" s="425">
        <v>1</v>
      </c>
      <c r="C218" s="505" t="s">
        <v>216</v>
      </c>
      <c r="D218" s="425">
        <v>2</v>
      </c>
      <c r="E218" s="505" t="s">
        <v>361</v>
      </c>
      <c r="F218" s="505" t="s">
        <v>411</v>
      </c>
      <c r="G218" s="505" t="s">
        <v>220</v>
      </c>
      <c r="H218" s="505" t="s">
        <v>305</v>
      </c>
      <c r="I218" s="505" t="s">
        <v>229</v>
      </c>
      <c r="J218" s="505"/>
      <c r="K218" s="609" t="s">
        <v>425</v>
      </c>
      <c r="L218" s="1110"/>
      <c r="M218" s="1110"/>
      <c r="N218" s="1110"/>
      <c r="O218" s="1110">
        <f>+L218+M218-N218</f>
        <v>0</v>
      </c>
      <c r="P218" s="1110"/>
      <c r="Q218" s="1110"/>
      <c r="R218" s="1110"/>
      <c r="S218" s="1110"/>
      <c r="T218" s="1110"/>
      <c r="U218" s="1110"/>
      <c r="V218" s="1110"/>
      <c r="W218" s="1110"/>
      <c r="X218" s="1110"/>
      <c r="Y218" s="1110"/>
      <c r="Z218" s="1110"/>
      <c r="AA218" s="1110">
        <f t="shared" ref="AA218:AA281" si="90">+Y218+Z218</f>
        <v>0</v>
      </c>
      <c r="AB218" s="1113" t="e">
        <f t="shared" si="82"/>
        <v>#DIV/0!</v>
      </c>
      <c r="AC218" s="729"/>
    </row>
    <row r="219" spans="1:29" s="1062" customFormat="1" ht="27.75" hidden="1" customHeight="1" thickTop="1" thickBot="1" x14ac:dyDescent="0.3">
      <c r="A219" s="424">
        <v>1</v>
      </c>
      <c r="B219" s="424">
        <v>1</v>
      </c>
      <c r="C219" s="519" t="s">
        <v>216</v>
      </c>
      <c r="D219" s="424">
        <v>2</v>
      </c>
      <c r="E219" s="519" t="s">
        <v>361</v>
      </c>
      <c r="F219" s="519" t="s">
        <v>426</v>
      </c>
      <c r="G219" s="519"/>
      <c r="H219" s="519"/>
      <c r="I219" s="519"/>
      <c r="J219" s="519"/>
      <c r="K219" s="1105" t="s">
        <v>427</v>
      </c>
      <c r="L219" s="1106">
        <f>SUM(L220:L222)</f>
        <v>0</v>
      </c>
      <c r="M219" s="1106">
        <f t="shared" ref="M219:Z219" si="91">SUM(M220:M222)</f>
        <v>0</v>
      </c>
      <c r="N219" s="1106">
        <f t="shared" si="91"/>
        <v>0</v>
      </c>
      <c r="O219" s="1106">
        <f t="shared" si="91"/>
        <v>0</v>
      </c>
      <c r="P219" s="1106">
        <f t="shared" si="91"/>
        <v>0</v>
      </c>
      <c r="Q219" s="1106"/>
      <c r="R219" s="1106">
        <f t="shared" si="91"/>
        <v>0</v>
      </c>
      <c r="S219" s="1106"/>
      <c r="T219" s="1106">
        <f t="shared" si="91"/>
        <v>0</v>
      </c>
      <c r="U219" s="1106"/>
      <c r="V219" s="1106">
        <f t="shared" si="91"/>
        <v>0</v>
      </c>
      <c r="W219" s="1106"/>
      <c r="X219" s="1106">
        <f t="shared" si="91"/>
        <v>0</v>
      </c>
      <c r="Y219" s="1106">
        <f t="shared" si="91"/>
        <v>0</v>
      </c>
      <c r="Z219" s="1106">
        <f t="shared" si="91"/>
        <v>0</v>
      </c>
      <c r="AA219" s="1106">
        <f t="shared" si="90"/>
        <v>0</v>
      </c>
      <c r="AB219" s="1107" t="e">
        <f t="shared" si="82"/>
        <v>#DIV/0!</v>
      </c>
      <c r="AC219" s="522"/>
    </row>
    <row r="220" spans="1:29" ht="32.25" hidden="1" customHeight="1" thickTop="1" thickBot="1" x14ac:dyDescent="0.3">
      <c r="A220" s="425">
        <v>1</v>
      </c>
      <c r="B220" s="425">
        <v>1</v>
      </c>
      <c r="C220" s="505" t="s">
        <v>216</v>
      </c>
      <c r="D220" s="425">
        <v>2</v>
      </c>
      <c r="E220" s="505" t="s">
        <v>361</v>
      </c>
      <c r="F220" s="505" t="s">
        <v>426</v>
      </c>
      <c r="G220" s="505" t="s">
        <v>216</v>
      </c>
      <c r="H220" s="505"/>
      <c r="I220" s="505"/>
      <c r="J220" s="505"/>
      <c r="K220" s="609" t="s">
        <v>428</v>
      </c>
      <c r="L220" s="1110"/>
      <c r="M220" s="1110"/>
      <c r="N220" s="1110"/>
      <c r="O220" s="1110">
        <f>+L220+M220-N220</f>
        <v>0</v>
      </c>
      <c r="P220" s="1110"/>
      <c r="Q220" s="1110"/>
      <c r="R220" s="1110"/>
      <c r="S220" s="1110"/>
      <c r="T220" s="1110"/>
      <c r="U220" s="1110"/>
      <c r="V220" s="1110"/>
      <c r="W220" s="1110"/>
      <c r="X220" s="1110"/>
      <c r="Y220" s="1110"/>
      <c r="Z220" s="1110"/>
      <c r="AA220" s="1110">
        <f t="shared" si="90"/>
        <v>0</v>
      </c>
      <c r="AB220" s="1113" t="e">
        <f t="shared" si="82"/>
        <v>#DIV/0!</v>
      </c>
      <c r="AC220" s="729"/>
    </row>
    <row r="221" spans="1:29" ht="24.75" hidden="1" customHeight="1" thickTop="1" thickBot="1" x14ac:dyDescent="0.3">
      <c r="A221" s="425">
        <v>1</v>
      </c>
      <c r="B221" s="425">
        <v>1</v>
      </c>
      <c r="C221" s="505" t="s">
        <v>216</v>
      </c>
      <c r="D221" s="425">
        <v>2</v>
      </c>
      <c r="E221" s="505" t="s">
        <v>361</v>
      </c>
      <c r="F221" s="505" t="s">
        <v>426</v>
      </c>
      <c r="G221" s="505" t="s">
        <v>227</v>
      </c>
      <c r="H221" s="505"/>
      <c r="I221" s="505"/>
      <c r="J221" s="505"/>
      <c r="K221" s="609" t="s">
        <v>429</v>
      </c>
      <c r="L221" s="1110"/>
      <c r="M221" s="1110"/>
      <c r="N221" s="1110"/>
      <c r="O221" s="1110">
        <f>+L221+M221-N221</f>
        <v>0</v>
      </c>
      <c r="P221" s="1110"/>
      <c r="Q221" s="1110"/>
      <c r="R221" s="1110"/>
      <c r="S221" s="1110"/>
      <c r="T221" s="1110"/>
      <c r="U221" s="1110"/>
      <c r="V221" s="1110"/>
      <c r="W221" s="1110"/>
      <c r="X221" s="1110"/>
      <c r="Y221" s="1110"/>
      <c r="Z221" s="1110"/>
      <c r="AA221" s="1110">
        <f t="shared" si="90"/>
        <v>0</v>
      </c>
      <c r="AB221" s="1113" t="e">
        <f t="shared" si="82"/>
        <v>#DIV/0!</v>
      </c>
      <c r="AC221" s="729"/>
    </row>
    <row r="222" spans="1:29" ht="1.5" hidden="1" customHeight="1" thickTop="1" thickBot="1" x14ac:dyDescent="0.3">
      <c r="A222" s="425">
        <v>1</v>
      </c>
      <c r="B222" s="425">
        <v>1</v>
      </c>
      <c r="C222" s="505" t="s">
        <v>216</v>
      </c>
      <c r="D222" s="425">
        <v>2</v>
      </c>
      <c r="E222" s="505" t="s">
        <v>361</v>
      </c>
      <c r="F222" s="505" t="s">
        <v>426</v>
      </c>
      <c r="G222" s="505" t="s">
        <v>229</v>
      </c>
      <c r="H222" s="505"/>
      <c r="I222" s="505"/>
      <c r="J222" s="505"/>
      <c r="K222" s="609" t="s">
        <v>430</v>
      </c>
      <c r="L222" s="1110"/>
      <c r="M222" s="1110"/>
      <c r="N222" s="1110"/>
      <c r="O222" s="1110">
        <f>+L222+M222-N222</f>
        <v>0</v>
      </c>
      <c r="P222" s="1110"/>
      <c r="Q222" s="1110"/>
      <c r="R222" s="1110"/>
      <c r="S222" s="1110"/>
      <c r="T222" s="1110"/>
      <c r="U222" s="1110"/>
      <c r="V222" s="1110"/>
      <c r="W222" s="1110"/>
      <c r="X222" s="1110"/>
      <c r="Y222" s="1110"/>
      <c r="Z222" s="1110"/>
      <c r="AA222" s="1110">
        <f t="shared" si="90"/>
        <v>0</v>
      </c>
      <c r="AB222" s="1113" t="e">
        <f t="shared" si="82"/>
        <v>#DIV/0!</v>
      </c>
      <c r="AC222" s="729"/>
    </row>
    <row r="223" spans="1:29" s="1062" customFormat="1" ht="33" hidden="1" customHeight="1" thickTop="1" thickBot="1" x14ac:dyDescent="0.3">
      <c r="A223" s="424">
        <v>1</v>
      </c>
      <c r="B223" s="424">
        <v>1</v>
      </c>
      <c r="C223" s="519" t="s">
        <v>216</v>
      </c>
      <c r="D223" s="424">
        <v>2</v>
      </c>
      <c r="E223" s="519" t="s">
        <v>361</v>
      </c>
      <c r="F223" s="519" t="s">
        <v>431</v>
      </c>
      <c r="G223" s="519"/>
      <c r="H223" s="519"/>
      <c r="I223" s="519"/>
      <c r="J223" s="519"/>
      <c r="K223" s="1105" t="s">
        <v>432</v>
      </c>
      <c r="L223" s="1106">
        <f>SUM(L224:L226)</f>
        <v>0</v>
      </c>
      <c r="M223" s="1106">
        <f t="shared" ref="M223:Z223" si="92">SUM(M224:M226)</f>
        <v>0</v>
      </c>
      <c r="N223" s="1106">
        <f t="shared" si="92"/>
        <v>0</v>
      </c>
      <c r="O223" s="1106">
        <f t="shared" si="92"/>
        <v>0</v>
      </c>
      <c r="P223" s="1106">
        <f t="shared" si="92"/>
        <v>0</v>
      </c>
      <c r="Q223" s="1106"/>
      <c r="R223" s="1106">
        <f t="shared" si="92"/>
        <v>0</v>
      </c>
      <c r="S223" s="1106"/>
      <c r="T223" s="1106">
        <f t="shared" si="92"/>
        <v>0</v>
      </c>
      <c r="U223" s="1106"/>
      <c r="V223" s="1106">
        <f t="shared" si="92"/>
        <v>0</v>
      </c>
      <c r="W223" s="1106"/>
      <c r="X223" s="1106">
        <f t="shared" si="92"/>
        <v>0</v>
      </c>
      <c r="Y223" s="1106">
        <f t="shared" si="92"/>
        <v>0</v>
      </c>
      <c r="Z223" s="1106">
        <f t="shared" si="92"/>
        <v>0</v>
      </c>
      <c r="AA223" s="1106">
        <f t="shared" si="90"/>
        <v>0</v>
      </c>
      <c r="AB223" s="1107" t="e">
        <f t="shared" si="82"/>
        <v>#DIV/0!</v>
      </c>
      <c r="AC223" s="522"/>
    </row>
    <row r="224" spans="1:29" ht="50.25" hidden="1" customHeight="1" thickTop="1" thickBot="1" x14ac:dyDescent="0.3">
      <c r="A224" s="425">
        <v>1</v>
      </c>
      <c r="B224" s="425">
        <v>1</v>
      </c>
      <c r="C224" s="505" t="s">
        <v>216</v>
      </c>
      <c r="D224" s="425">
        <v>2</v>
      </c>
      <c r="E224" s="505" t="s">
        <v>361</v>
      </c>
      <c r="F224" s="505" t="s">
        <v>431</v>
      </c>
      <c r="G224" s="505" t="s">
        <v>216</v>
      </c>
      <c r="H224" s="505"/>
      <c r="I224" s="505"/>
      <c r="J224" s="505"/>
      <c r="K224" s="609" t="s">
        <v>433</v>
      </c>
      <c r="L224" s="1110"/>
      <c r="M224" s="1110"/>
      <c r="N224" s="1110"/>
      <c r="O224" s="1110">
        <f>+L224+M224-N224</f>
        <v>0</v>
      </c>
      <c r="P224" s="1110"/>
      <c r="Q224" s="1110"/>
      <c r="R224" s="1110"/>
      <c r="S224" s="1110"/>
      <c r="T224" s="1110"/>
      <c r="U224" s="1110"/>
      <c r="V224" s="1110"/>
      <c r="W224" s="1110"/>
      <c r="X224" s="1110"/>
      <c r="Y224" s="1110"/>
      <c r="Z224" s="1110"/>
      <c r="AA224" s="1106">
        <f t="shared" si="90"/>
        <v>0</v>
      </c>
      <c r="AB224" s="1113" t="e">
        <f t="shared" si="82"/>
        <v>#DIV/0!</v>
      </c>
      <c r="AC224" s="729"/>
    </row>
    <row r="225" spans="1:29" ht="48" hidden="1" customHeight="1" thickTop="1" thickBot="1" x14ac:dyDescent="0.3">
      <c r="A225" s="425">
        <v>1</v>
      </c>
      <c r="B225" s="425">
        <v>1</v>
      </c>
      <c r="C225" s="505" t="s">
        <v>216</v>
      </c>
      <c r="D225" s="425">
        <v>2</v>
      </c>
      <c r="E225" s="505" t="s">
        <v>361</v>
      </c>
      <c r="F225" s="505" t="s">
        <v>431</v>
      </c>
      <c r="G225" s="505" t="s">
        <v>227</v>
      </c>
      <c r="H225" s="505"/>
      <c r="I225" s="505"/>
      <c r="J225" s="505"/>
      <c r="K225" s="609" t="s">
        <v>434</v>
      </c>
      <c r="L225" s="1110"/>
      <c r="M225" s="1110"/>
      <c r="N225" s="1110"/>
      <c r="O225" s="1110">
        <f>+L225+M225-N225</f>
        <v>0</v>
      </c>
      <c r="P225" s="1110"/>
      <c r="Q225" s="1110"/>
      <c r="R225" s="1110"/>
      <c r="S225" s="1110"/>
      <c r="T225" s="1110"/>
      <c r="U225" s="1110"/>
      <c r="V225" s="1110"/>
      <c r="W225" s="1110"/>
      <c r="X225" s="1110"/>
      <c r="Y225" s="1110"/>
      <c r="Z225" s="1110"/>
      <c r="AA225" s="1106">
        <f t="shared" si="90"/>
        <v>0</v>
      </c>
      <c r="AB225" s="1113" t="e">
        <f t="shared" si="82"/>
        <v>#DIV/0!</v>
      </c>
      <c r="AC225" s="729"/>
    </row>
    <row r="226" spans="1:29" ht="40.5" hidden="1" customHeight="1" thickTop="1" thickBot="1" x14ac:dyDescent="0.3">
      <c r="A226" s="425">
        <v>1</v>
      </c>
      <c r="B226" s="425">
        <v>1</v>
      </c>
      <c r="C226" s="505" t="s">
        <v>216</v>
      </c>
      <c r="D226" s="425">
        <v>2</v>
      </c>
      <c r="E226" s="505" t="s">
        <v>361</v>
      </c>
      <c r="F226" s="505" t="s">
        <v>431</v>
      </c>
      <c r="G226" s="505" t="s">
        <v>229</v>
      </c>
      <c r="H226" s="505"/>
      <c r="I226" s="505"/>
      <c r="J226" s="505"/>
      <c r="K226" s="609" t="s">
        <v>435</v>
      </c>
      <c r="L226" s="1110"/>
      <c r="M226" s="1110"/>
      <c r="N226" s="1110"/>
      <c r="O226" s="1110">
        <f>+L226+M226-N226</f>
        <v>0</v>
      </c>
      <c r="P226" s="1110"/>
      <c r="Q226" s="1110"/>
      <c r="R226" s="1110"/>
      <c r="S226" s="1110"/>
      <c r="T226" s="1110"/>
      <c r="U226" s="1110"/>
      <c r="V226" s="1110"/>
      <c r="W226" s="1110"/>
      <c r="X226" s="1110"/>
      <c r="Y226" s="1110"/>
      <c r="Z226" s="1110"/>
      <c r="AA226" s="1106">
        <f t="shared" si="90"/>
        <v>0</v>
      </c>
      <c r="AB226" s="1113" t="e">
        <f t="shared" si="82"/>
        <v>#DIV/0!</v>
      </c>
      <c r="AC226" s="729"/>
    </row>
    <row r="227" spans="1:29" s="1085" customFormat="1" ht="43.5" customHeight="1" thickTop="1" thickBot="1" x14ac:dyDescent="0.3">
      <c r="A227" s="1079">
        <v>1</v>
      </c>
      <c r="B227" s="1080" t="s">
        <v>216</v>
      </c>
      <c r="C227" s="1080" t="s">
        <v>227</v>
      </c>
      <c r="D227" s="1080"/>
      <c r="E227" s="1080"/>
      <c r="F227" s="1080"/>
      <c r="G227" s="1080"/>
      <c r="H227" s="1080"/>
      <c r="I227" s="1080"/>
      <c r="J227" s="1080"/>
      <c r="K227" s="1081" t="s">
        <v>436</v>
      </c>
      <c r="L227" s="1082">
        <f>+L308+L396</f>
        <v>18311180608</v>
      </c>
      <c r="M227" s="1082">
        <f t="shared" ref="M227:N227" si="93">+M228+M287+M308+M345+M363+M378+M396+M403+M503</f>
        <v>25635450552</v>
      </c>
      <c r="N227" s="1082">
        <f t="shared" si="93"/>
        <v>0</v>
      </c>
      <c r="O227" s="1082">
        <f>+O228+O287+O308+O345+O363+O378+O396+O403+O503</f>
        <v>43946631160</v>
      </c>
      <c r="P227" s="1082">
        <f t="shared" ref="P227:Z227" si="94">+P228+P287+P308+P345+P363+P378+P396+P403+P503</f>
        <v>12159428435.999998</v>
      </c>
      <c r="Q227" s="1082">
        <f t="shared" si="94"/>
        <v>0</v>
      </c>
      <c r="R227" s="1082">
        <f t="shared" si="94"/>
        <v>29847083410.960007</v>
      </c>
      <c r="S227" s="1082">
        <f t="shared" si="94"/>
        <v>0</v>
      </c>
      <c r="T227" s="1082">
        <f t="shared" si="94"/>
        <v>60100000.039993286</v>
      </c>
      <c r="U227" s="1082">
        <f t="shared" si="94"/>
        <v>0</v>
      </c>
      <c r="V227" s="1082">
        <f t="shared" si="94"/>
        <v>1880019313</v>
      </c>
      <c r="W227" s="1082">
        <f t="shared" si="94"/>
        <v>0</v>
      </c>
      <c r="X227" s="1082">
        <f t="shared" si="94"/>
        <v>0</v>
      </c>
      <c r="Y227" s="1082">
        <f t="shared" si="94"/>
        <v>3737080861</v>
      </c>
      <c r="Z227" s="1082">
        <f t="shared" si="94"/>
        <v>37725122574</v>
      </c>
      <c r="AA227" s="1106">
        <f t="shared" si="90"/>
        <v>41462203435</v>
      </c>
      <c r="AB227" s="1083" t="e">
        <f t="shared" si="82"/>
        <v>#DIV/0!</v>
      </c>
      <c r="AC227" s="1084"/>
    </row>
    <row r="228" spans="1:29" s="1090" customFormat="1" ht="36" hidden="1" customHeight="1" thickTop="1" thickBot="1" x14ac:dyDescent="0.3">
      <c r="A228" s="1086">
        <v>1</v>
      </c>
      <c r="B228" s="1086">
        <v>1</v>
      </c>
      <c r="C228" s="421" t="s">
        <v>227</v>
      </c>
      <c r="D228" s="421" t="s">
        <v>220</v>
      </c>
      <c r="E228" s="421"/>
      <c r="F228" s="421"/>
      <c r="G228" s="421"/>
      <c r="H228" s="421"/>
      <c r="I228" s="421"/>
      <c r="J228" s="421"/>
      <c r="K228" s="1087" t="s">
        <v>437</v>
      </c>
      <c r="L228" s="1088">
        <f>+L229+L246</f>
        <v>0</v>
      </c>
      <c r="M228" s="1088">
        <f t="shared" ref="M228:Z228" si="95">+M229+M246</f>
        <v>0</v>
      </c>
      <c r="N228" s="1088">
        <f t="shared" si="95"/>
        <v>0</v>
      </c>
      <c r="O228" s="1088">
        <f t="shared" si="95"/>
        <v>0</v>
      </c>
      <c r="P228" s="1088">
        <f t="shared" si="95"/>
        <v>0</v>
      </c>
      <c r="Q228" s="1088"/>
      <c r="R228" s="1088">
        <f t="shared" si="95"/>
        <v>0</v>
      </c>
      <c r="S228" s="1088"/>
      <c r="T228" s="1088">
        <f t="shared" si="95"/>
        <v>0</v>
      </c>
      <c r="U228" s="1088"/>
      <c r="V228" s="1088">
        <f t="shared" si="95"/>
        <v>0</v>
      </c>
      <c r="W228" s="1088"/>
      <c r="X228" s="1088">
        <f t="shared" si="95"/>
        <v>0</v>
      </c>
      <c r="Y228" s="1088">
        <f t="shared" si="95"/>
        <v>0</v>
      </c>
      <c r="Z228" s="1088">
        <f t="shared" si="95"/>
        <v>0</v>
      </c>
      <c r="AA228" s="1106">
        <f t="shared" si="90"/>
        <v>0</v>
      </c>
      <c r="AB228" s="1089" t="e">
        <f t="shared" si="82"/>
        <v>#DIV/0!</v>
      </c>
      <c r="AC228" s="511"/>
    </row>
    <row r="229" spans="1:29" s="1097" customFormat="1" ht="34.5" hidden="1" customHeight="1" thickTop="1" thickBot="1" x14ac:dyDescent="0.3">
      <c r="A229" s="1091">
        <v>1</v>
      </c>
      <c r="B229" s="1091">
        <v>1</v>
      </c>
      <c r="C229" s="1092" t="s">
        <v>227</v>
      </c>
      <c r="D229" s="1092" t="s">
        <v>220</v>
      </c>
      <c r="E229" s="1092" t="s">
        <v>220</v>
      </c>
      <c r="F229" s="1092"/>
      <c r="G229" s="1092"/>
      <c r="H229" s="1092"/>
      <c r="I229" s="1092"/>
      <c r="J229" s="1092"/>
      <c r="K229" s="1093" t="s">
        <v>438</v>
      </c>
      <c r="L229" s="1094">
        <f>+L230+L234+L238+L242</f>
        <v>0</v>
      </c>
      <c r="M229" s="1094">
        <f t="shared" ref="M229:Z229" si="96">+M230+M234+M238+M242</f>
        <v>0</v>
      </c>
      <c r="N229" s="1094">
        <f t="shared" si="96"/>
        <v>0</v>
      </c>
      <c r="O229" s="1094">
        <f t="shared" si="96"/>
        <v>0</v>
      </c>
      <c r="P229" s="1094">
        <f t="shared" si="96"/>
        <v>0</v>
      </c>
      <c r="Q229" s="1094"/>
      <c r="R229" s="1094">
        <f t="shared" si="96"/>
        <v>0</v>
      </c>
      <c r="S229" s="1094"/>
      <c r="T229" s="1094">
        <f t="shared" si="96"/>
        <v>0</v>
      </c>
      <c r="U229" s="1094"/>
      <c r="V229" s="1094">
        <f t="shared" si="96"/>
        <v>0</v>
      </c>
      <c r="W229" s="1094"/>
      <c r="X229" s="1094">
        <f t="shared" si="96"/>
        <v>0</v>
      </c>
      <c r="Y229" s="1094">
        <f t="shared" si="96"/>
        <v>0</v>
      </c>
      <c r="Z229" s="1094">
        <f t="shared" si="96"/>
        <v>0</v>
      </c>
      <c r="AA229" s="1106">
        <f t="shared" si="90"/>
        <v>0</v>
      </c>
      <c r="AB229" s="1095" t="e">
        <f t="shared" si="82"/>
        <v>#DIV/0!</v>
      </c>
      <c r="AC229" s="1096"/>
    </row>
    <row r="230" spans="1:29" s="1104" customFormat="1" ht="22.5" hidden="1" customHeight="1" thickTop="1" thickBot="1" x14ac:dyDescent="0.3">
      <c r="A230" s="1098">
        <v>1</v>
      </c>
      <c r="B230" s="1098">
        <v>1</v>
      </c>
      <c r="C230" s="1099" t="s">
        <v>227</v>
      </c>
      <c r="D230" s="1099" t="s">
        <v>220</v>
      </c>
      <c r="E230" s="1099" t="s">
        <v>220</v>
      </c>
      <c r="F230" s="1099" t="s">
        <v>307</v>
      </c>
      <c r="G230" s="1099"/>
      <c r="H230" s="1099"/>
      <c r="I230" s="1099"/>
      <c r="J230" s="1099"/>
      <c r="K230" s="1100" t="s">
        <v>439</v>
      </c>
      <c r="L230" s="1101">
        <f>SUM(L231:L233)</f>
        <v>0</v>
      </c>
      <c r="M230" s="1101">
        <f t="shared" ref="M230:Z230" si="97">SUM(M231:M233)</f>
        <v>0</v>
      </c>
      <c r="N230" s="1101">
        <f t="shared" si="97"/>
        <v>0</v>
      </c>
      <c r="O230" s="1101">
        <f t="shared" si="97"/>
        <v>0</v>
      </c>
      <c r="P230" s="1101">
        <f t="shared" si="97"/>
        <v>0</v>
      </c>
      <c r="Q230" s="1101"/>
      <c r="R230" s="1101">
        <f t="shared" si="97"/>
        <v>0</v>
      </c>
      <c r="S230" s="1101"/>
      <c r="T230" s="1101">
        <f t="shared" si="97"/>
        <v>0</v>
      </c>
      <c r="U230" s="1101"/>
      <c r="V230" s="1101">
        <f t="shared" si="97"/>
        <v>0</v>
      </c>
      <c r="W230" s="1101"/>
      <c r="X230" s="1101">
        <f t="shared" si="97"/>
        <v>0</v>
      </c>
      <c r="Y230" s="1101">
        <f t="shared" si="97"/>
        <v>0</v>
      </c>
      <c r="Z230" s="1101">
        <f t="shared" si="97"/>
        <v>0</v>
      </c>
      <c r="AA230" s="1106">
        <f t="shared" si="90"/>
        <v>0</v>
      </c>
      <c r="AB230" s="1102" t="e">
        <f t="shared" si="82"/>
        <v>#DIV/0!</v>
      </c>
      <c r="AC230" s="1103"/>
    </row>
    <row r="231" spans="1:29" ht="3.75" customHeight="1" thickTop="1" thickBot="1" x14ac:dyDescent="0.3">
      <c r="A231" s="425">
        <v>1</v>
      </c>
      <c r="B231" s="425">
        <v>1</v>
      </c>
      <c r="C231" s="505" t="s">
        <v>227</v>
      </c>
      <c r="D231" s="505" t="s">
        <v>220</v>
      </c>
      <c r="E231" s="505" t="s">
        <v>220</v>
      </c>
      <c r="F231" s="505" t="s">
        <v>307</v>
      </c>
      <c r="G231" s="505" t="s">
        <v>216</v>
      </c>
      <c r="H231" s="505"/>
      <c r="I231" s="505"/>
      <c r="J231" s="505"/>
      <c r="K231" s="609" t="s">
        <v>440</v>
      </c>
      <c r="L231" s="1110"/>
      <c r="M231" s="1110"/>
      <c r="N231" s="1110"/>
      <c r="O231" s="1110">
        <f>+L231+M231-N231</f>
        <v>0</v>
      </c>
      <c r="P231" s="1110"/>
      <c r="Q231" s="1110"/>
      <c r="R231" s="1110"/>
      <c r="S231" s="1110"/>
      <c r="T231" s="1110"/>
      <c r="U231" s="1110"/>
      <c r="V231" s="1110"/>
      <c r="W231" s="1110"/>
      <c r="X231" s="1110"/>
      <c r="Y231" s="1110"/>
      <c r="Z231" s="1110"/>
      <c r="AA231" s="1106">
        <f t="shared" si="90"/>
        <v>0</v>
      </c>
      <c r="AB231" s="1113" t="e">
        <f t="shared" si="82"/>
        <v>#DIV/0!</v>
      </c>
      <c r="AC231" s="729"/>
    </row>
    <row r="232" spans="1:29" ht="22.5" hidden="1" customHeight="1" thickTop="1" thickBot="1" x14ac:dyDescent="0.3">
      <c r="A232" s="425">
        <v>1</v>
      </c>
      <c r="B232" s="425">
        <v>1</v>
      </c>
      <c r="C232" s="505" t="s">
        <v>227</v>
      </c>
      <c r="D232" s="505" t="s">
        <v>220</v>
      </c>
      <c r="E232" s="505" t="s">
        <v>220</v>
      </c>
      <c r="F232" s="505" t="s">
        <v>307</v>
      </c>
      <c r="G232" s="505" t="s">
        <v>227</v>
      </c>
      <c r="H232" s="505"/>
      <c r="I232" s="505"/>
      <c r="J232" s="505"/>
      <c r="K232" s="609" t="s">
        <v>441</v>
      </c>
      <c r="L232" s="1110"/>
      <c r="M232" s="1110"/>
      <c r="N232" s="1110"/>
      <c r="O232" s="1110">
        <f>+L232+M232-N232</f>
        <v>0</v>
      </c>
      <c r="P232" s="1110"/>
      <c r="Q232" s="1110"/>
      <c r="R232" s="1110"/>
      <c r="S232" s="1110"/>
      <c r="T232" s="1110"/>
      <c r="U232" s="1110"/>
      <c r="V232" s="1110"/>
      <c r="W232" s="1110"/>
      <c r="X232" s="1110"/>
      <c r="Y232" s="1110"/>
      <c r="Z232" s="1110"/>
      <c r="AA232" s="1106">
        <f t="shared" si="90"/>
        <v>0</v>
      </c>
      <c r="AB232" s="1113" t="e">
        <f t="shared" si="82"/>
        <v>#DIV/0!</v>
      </c>
      <c r="AC232" s="729"/>
    </row>
    <row r="233" spans="1:29" ht="22.5" hidden="1" customHeight="1" thickTop="1" thickBot="1" x14ac:dyDescent="0.3">
      <c r="A233" s="425">
        <v>1</v>
      </c>
      <c r="B233" s="425">
        <v>1</v>
      </c>
      <c r="C233" s="505" t="s">
        <v>227</v>
      </c>
      <c r="D233" s="505" t="s">
        <v>220</v>
      </c>
      <c r="E233" s="505" t="s">
        <v>220</v>
      </c>
      <c r="F233" s="505" t="s">
        <v>307</v>
      </c>
      <c r="G233" s="505" t="s">
        <v>229</v>
      </c>
      <c r="H233" s="505"/>
      <c r="I233" s="505"/>
      <c r="J233" s="505"/>
      <c r="K233" s="609" t="s">
        <v>442</v>
      </c>
      <c r="L233" s="1110"/>
      <c r="M233" s="1110"/>
      <c r="N233" s="1110"/>
      <c r="O233" s="1110">
        <f>+L233+M233-N233</f>
        <v>0</v>
      </c>
      <c r="P233" s="1110"/>
      <c r="Q233" s="1110"/>
      <c r="R233" s="1110"/>
      <c r="S233" s="1110"/>
      <c r="T233" s="1110"/>
      <c r="U233" s="1110"/>
      <c r="V233" s="1110"/>
      <c r="W233" s="1110"/>
      <c r="X233" s="1110"/>
      <c r="Y233" s="1110"/>
      <c r="Z233" s="1110"/>
      <c r="AA233" s="1106">
        <f t="shared" si="90"/>
        <v>0</v>
      </c>
      <c r="AB233" s="1113" t="e">
        <f t="shared" si="82"/>
        <v>#DIV/0!</v>
      </c>
      <c r="AC233" s="729"/>
    </row>
    <row r="234" spans="1:29" s="1104" customFormat="1" ht="22.5" hidden="1" customHeight="1" thickTop="1" thickBot="1" x14ac:dyDescent="0.3">
      <c r="A234" s="1098">
        <v>1</v>
      </c>
      <c r="B234" s="1098">
        <v>1</v>
      </c>
      <c r="C234" s="1099" t="s">
        <v>227</v>
      </c>
      <c r="D234" s="1099" t="s">
        <v>220</v>
      </c>
      <c r="E234" s="1099" t="s">
        <v>220</v>
      </c>
      <c r="F234" s="1099" t="s">
        <v>332</v>
      </c>
      <c r="G234" s="1099"/>
      <c r="H234" s="1099"/>
      <c r="I234" s="1099"/>
      <c r="J234" s="1099"/>
      <c r="K234" s="1100" t="s">
        <v>443</v>
      </c>
      <c r="L234" s="1101">
        <f>SUM(L235:L237)</f>
        <v>0</v>
      </c>
      <c r="M234" s="1101">
        <f t="shared" ref="M234:Z234" si="98">SUM(M235:M237)</f>
        <v>0</v>
      </c>
      <c r="N234" s="1101">
        <f t="shared" si="98"/>
        <v>0</v>
      </c>
      <c r="O234" s="1101">
        <f t="shared" si="98"/>
        <v>0</v>
      </c>
      <c r="P234" s="1101">
        <f t="shared" si="98"/>
        <v>0</v>
      </c>
      <c r="Q234" s="1101"/>
      <c r="R234" s="1101">
        <f t="shared" si="98"/>
        <v>0</v>
      </c>
      <c r="S234" s="1101"/>
      <c r="T234" s="1101">
        <f t="shared" si="98"/>
        <v>0</v>
      </c>
      <c r="U234" s="1101"/>
      <c r="V234" s="1101">
        <f t="shared" si="98"/>
        <v>0</v>
      </c>
      <c r="W234" s="1101"/>
      <c r="X234" s="1101">
        <f t="shared" si="98"/>
        <v>0</v>
      </c>
      <c r="Y234" s="1101">
        <f t="shared" si="98"/>
        <v>0</v>
      </c>
      <c r="Z234" s="1101">
        <f t="shared" si="98"/>
        <v>0</v>
      </c>
      <c r="AA234" s="1106">
        <f t="shared" si="90"/>
        <v>0</v>
      </c>
      <c r="AB234" s="1102" t="e">
        <f t="shared" si="82"/>
        <v>#DIV/0!</v>
      </c>
      <c r="AC234" s="1103"/>
    </row>
    <row r="235" spans="1:29" ht="22.5" hidden="1" customHeight="1" thickTop="1" thickBot="1" x14ac:dyDescent="0.3">
      <c r="A235" s="425">
        <v>1</v>
      </c>
      <c r="B235" s="425">
        <v>1</v>
      </c>
      <c r="C235" s="505" t="s">
        <v>227</v>
      </c>
      <c r="D235" s="505" t="s">
        <v>220</v>
      </c>
      <c r="E235" s="505" t="s">
        <v>220</v>
      </c>
      <c r="F235" s="505" t="s">
        <v>332</v>
      </c>
      <c r="G235" s="505" t="s">
        <v>216</v>
      </c>
      <c r="H235" s="505"/>
      <c r="I235" s="505"/>
      <c r="J235" s="505"/>
      <c r="K235" s="609" t="s">
        <v>444</v>
      </c>
      <c r="L235" s="1110"/>
      <c r="M235" s="1110"/>
      <c r="N235" s="1110"/>
      <c r="O235" s="1110">
        <f>+L235+M235-N235</f>
        <v>0</v>
      </c>
      <c r="P235" s="1110"/>
      <c r="Q235" s="1110"/>
      <c r="R235" s="1110"/>
      <c r="S235" s="1110"/>
      <c r="T235" s="1110"/>
      <c r="U235" s="1110"/>
      <c r="V235" s="1110"/>
      <c r="W235" s="1110"/>
      <c r="X235" s="1110"/>
      <c r="Y235" s="1110"/>
      <c r="Z235" s="1110"/>
      <c r="AA235" s="1106">
        <f t="shared" si="90"/>
        <v>0</v>
      </c>
      <c r="AB235" s="1113" t="e">
        <f t="shared" si="82"/>
        <v>#DIV/0!</v>
      </c>
      <c r="AC235" s="729"/>
    </row>
    <row r="236" spans="1:29" ht="22.5" hidden="1" customHeight="1" thickTop="1" thickBot="1" x14ac:dyDescent="0.3">
      <c r="A236" s="425">
        <v>1</v>
      </c>
      <c r="B236" s="425">
        <v>1</v>
      </c>
      <c r="C236" s="505" t="s">
        <v>227</v>
      </c>
      <c r="D236" s="505" t="s">
        <v>220</v>
      </c>
      <c r="E236" s="505" t="s">
        <v>220</v>
      </c>
      <c r="F236" s="505" t="s">
        <v>332</v>
      </c>
      <c r="G236" s="505" t="s">
        <v>227</v>
      </c>
      <c r="H236" s="505"/>
      <c r="I236" s="505"/>
      <c r="J236" s="505"/>
      <c r="K236" s="609" t="s">
        <v>445</v>
      </c>
      <c r="L236" s="1110"/>
      <c r="M236" s="1110"/>
      <c r="N236" s="1110"/>
      <c r="O236" s="1110">
        <f>+L236+M236-N236</f>
        <v>0</v>
      </c>
      <c r="P236" s="1110"/>
      <c r="Q236" s="1110"/>
      <c r="R236" s="1110"/>
      <c r="S236" s="1110"/>
      <c r="T236" s="1110"/>
      <c r="U236" s="1110"/>
      <c r="V236" s="1110"/>
      <c r="W236" s="1110"/>
      <c r="X236" s="1110"/>
      <c r="Y236" s="1110"/>
      <c r="Z236" s="1110"/>
      <c r="AA236" s="1106">
        <f t="shared" si="90"/>
        <v>0</v>
      </c>
      <c r="AB236" s="1113" t="e">
        <f t="shared" si="82"/>
        <v>#DIV/0!</v>
      </c>
      <c r="AC236" s="729"/>
    </row>
    <row r="237" spans="1:29" ht="22.5" hidden="1" customHeight="1" thickTop="1" thickBot="1" x14ac:dyDescent="0.3">
      <c r="A237" s="425">
        <v>1</v>
      </c>
      <c r="B237" s="425">
        <v>1</v>
      </c>
      <c r="C237" s="505" t="s">
        <v>227</v>
      </c>
      <c r="D237" s="505" t="s">
        <v>220</v>
      </c>
      <c r="E237" s="505" t="s">
        <v>220</v>
      </c>
      <c r="F237" s="505" t="s">
        <v>332</v>
      </c>
      <c r="G237" s="505" t="s">
        <v>229</v>
      </c>
      <c r="H237" s="505"/>
      <c r="I237" s="505"/>
      <c r="J237" s="505"/>
      <c r="K237" s="609" t="s">
        <v>446</v>
      </c>
      <c r="L237" s="1110"/>
      <c r="M237" s="1110"/>
      <c r="N237" s="1110"/>
      <c r="O237" s="1110">
        <f>+L237+M237-N237</f>
        <v>0</v>
      </c>
      <c r="P237" s="1110"/>
      <c r="Q237" s="1110"/>
      <c r="R237" s="1110"/>
      <c r="S237" s="1110"/>
      <c r="T237" s="1110"/>
      <c r="U237" s="1110"/>
      <c r="V237" s="1110"/>
      <c r="W237" s="1110"/>
      <c r="X237" s="1110"/>
      <c r="Y237" s="1110"/>
      <c r="Z237" s="1110"/>
      <c r="AA237" s="1106">
        <f t="shared" si="90"/>
        <v>0</v>
      </c>
      <c r="AB237" s="1113" t="e">
        <f t="shared" si="82"/>
        <v>#DIV/0!</v>
      </c>
      <c r="AC237" s="729"/>
    </row>
    <row r="238" spans="1:29" s="1104" customFormat="1" ht="22.5" hidden="1" customHeight="1" thickTop="1" thickBot="1" x14ac:dyDescent="0.3">
      <c r="A238" s="1098">
        <v>1</v>
      </c>
      <c r="B238" s="1098">
        <v>1</v>
      </c>
      <c r="C238" s="1099" t="s">
        <v>227</v>
      </c>
      <c r="D238" s="1099" t="s">
        <v>220</v>
      </c>
      <c r="E238" s="1099" t="s">
        <v>220</v>
      </c>
      <c r="F238" s="1099" t="s">
        <v>391</v>
      </c>
      <c r="G238" s="1099"/>
      <c r="H238" s="1099"/>
      <c r="I238" s="1099"/>
      <c r="J238" s="1099"/>
      <c r="K238" s="1100" t="s">
        <v>447</v>
      </c>
      <c r="L238" s="1101">
        <f>SUM(L239:L241)</f>
        <v>0</v>
      </c>
      <c r="M238" s="1101">
        <f t="shared" ref="M238:Z238" si="99">SUM(M239:M241)</f>
        <v>0</v>
      </c>
      <c r="N238" s="1101">
        <f t="shared" si="99"/>
        <v>0</v>
      </c>
      <c r="O238" s="1101">
        <f t="shared" si="99"/>
        <v>0</v>
      </c>
      <c r="P238" s="1101">
        <f t="shared" si="99"/>
        <v>0</v>
      </c>
      <c r="Q238" s="1101"/>
      <c r="R238" s="1101">
        <f t="shared" si="99"/>
        <v>0</v>
      </c>
      <c r="S238" s="1101"/>
      <c r="T238" s="1101">
        <f t="shared" si="99"/>
        <v>0</v>
      </c>
      <c r="U238" s="1101"/>
      <c r="V238" s="1101">
        <f t="shared" si="99"/>
        <v>0</v>
      </c>
      <c r="W238" s="1101"/>
      <c r="X238" s="1101">
        <f t="shared" si="99"/>
        <v>0</v>
      </c>
      <c r="Y238" s="1101">
        <f t="shared" si="99"/>
        <v>0</v>
      </c>
      <c r="Z238" s="1101">
        <f t="shared" si="99"/>
        <v>0</v>
      </c>
      <c r="AA238" s="1106">
        <f t="shared" si="90"/>
        <v>0</v>
      </c>
      <c r="AB238" s="1102" t="e">
        <f t="shared" si="82"/>
        <v>#DIV/0!</v>
      </c>
      <c r="AC238" s="1103"/>
    </row>
    <row r="239" spans="1:29" ht="22.5" hidden="1" customHeight="1" thickTop="1" thickBot="1" x14ac:dyDescent="0.3">
      <c r="A239" s="425">
        <v>1</v>
      </c>
      <c r="B239" s="425">
        <v>1</v>
      </c>
      <c r="C239" s="505" t="s">
        <v>227</v>
      </c>
      <c r="D239" s="505" t="s">
        <v>220</v>
      </c>
      <c r="E239" s="505" t="s">
        <v>220</v>
      </c>
      <c r="F239" s="505" t="s">
        <v>391</v>
      </c>
      <c r="G239" s="505" t="s">
        <v>216</v>
      </c>
      <c r="H239" s="505"/>
      <c r="I239" s="505"/>
      <c r="J239" s="505"/>
      <c r="K239" s="609" t="s">
        <v>448</v>
      </c>
      <c r="L239" s="1110"/>
      <c r="M239" s="1110"/>
      <c r="N239" s="1110"/>
      <c r="O239" s="1110">
        <f>+L239+M239-N239</f>
        <v>0</v>
      </c>
      <c r="P239" s="1110"/>
      <c r="Q239" s="1110"/>
      <c r="R239" s="1110"/>
      <c r="S239" s="1110"/>
      <c r="T239" s="1110"/>
      <c r="U239" s="1110"/>
      <c r="V239" s="1110"/>
      <c r="W239" s="1110"/>
      <c r="X239" s="1110"/>
      <c r="Y239" s="1110"/>
      <c r="Z239" s="1110"/>
      <c r="AA239" s="1106">
        <f t="shared" si="90"/>
        <v>0</v>
      </c>
      <c r="AB239" s="1113" t="e">
        <f t="shared" si="82"/>
        <v>#DIV/0!</v>
      </c>
      <c r="AC239" s="729"/>
    </row>
    <row r="240" spans="1:29" ht="22.5" hidden="1" customHeight="1" thickTop="1" thickBot="1" x14ac:dyDescent="0.3">
      <c r="A240" s="425">
        <v>1</v>
      </c>
      <c r="B240" s="425">
        <v>1</v>
      </c>
      <c r="C240" s="505" t="s">
        <v>227</v>
      </c>
      <c r="D240" s="505" t="s">
        <v>220</v>
      </c>
      <c r="E240" s="505" t="s">
        <v>220</v>
      </c>
      <c r="F240" s="505" t="s">
        <v>391</v>
      </c>
      <c r="G240" s="505" t="s">
        <v>227</v>
      </c>
      <c r="H240" s="505"/>
      <c r="I240" s="505"/>
      <c r="J240" s="505"/>
      <c r="K240" s="609" t="s">
        <v>449</v>
      </c>
      <c r="L240" s="1110"/>
      <c r="M240" s="1110"/>
      <c r="N240" s="1110"/>
      <c r="O240" s="1110">
        <f>+L240+M240-N240</f>
        <v>0</v>
      </c>
      <c r="P240" s="1110"/>
      <c r="Q240" s="1110"/>
      <c r="R240" s="1110"/>
      <c r="S240" s="1110"/>
      <c r="T240" s="1110"/>
      <c r="U240" s="1110"/>
      <c r="V240" s="1110"/>
      <c r="W240" s="1110"/>
      <c r="X240" s="1110"/>
      <c r="Y240" s="1110"/>
      <c r="Z240" s="1110"/>
      <c r="AA240" s="1106">
        <f t="shared" si="90"/>
        <v>0</v>
      </c>
      <c r="AB240" s="1113" t="e">
        <f t="shared" si="82"/>
        <v>#DIV/0!</v>
      </c>
      <c r="AC240" s="729"/>
    </row>
    <row r="241" spans="1:29" ht="22.5" hidden="1" customHeight="1" thickTop="1" thickBot="1" x14ac:dyDescent="0.3">
      <c r="A241" s="425">
        <v>1</v>
      </c>
      <c r="B241" s="425">
        <v>1</v>
      </c>
      <c r="C241" s="505" t="s">
        <v>227</v>
      </c>
      <c r="D241" s="505" t="s">
        <v>220</v>
      </c>
      <c r="E241" s="505" t="s">
        <v>220</v>
      </c>
      <c r="F241" s="505" t="s">
        <v>391</v>
      </c>
      <c r="G241" s="505" t="s">
        <v>229</v>
      </c>
      <c r="H241" s="505"/>
      <c r="I241" s="505"/>
      <c r="J241" s="505"/>
      <c r="K241" s="609" t="s">
        <v>450</v>
      </c>
      <c r="L241" s="1110"/>
      <c r="M241" s="1110"/>
      <c r="N241" s="1110"/>
      <c r="O241" s="1110">
        <f>+L241+M241-N241</f>
        <v>0</v>
      </c>
      <c r="P241" s="1110"/>
      <c r="Q241" s="1110"/>
      <c r="R241" s="1110"/>
      <c r="S241" s="1110"/>
      <c r="T241" s="1110"/>
      <c r="U241" s="1110"/>
      <c r="V241" s="1110"/>
      <c r="W241" s="1110"/>
      <c r="X241" s="1110"/>
      <c r="Y241" s="1110"/>
      <c r="Z241" s="1110"/>
      <c r="AA241" s="1106">
        <f t="shared" si="90"/>
        <v>0</v>
      </c>
      <c r="AB241" s="1113" t="e">
        <f t="shared" si="82"/>
        <v>#DIV/0!</v>
      </c>
      <c r="AC241" s="729"/>
    </row>
    <row r="242" spans="1:29" s="1104" customFormat="1" ht="22.5" hidden="1" customHeight="1" thickTop="1" thickBot="1" x14ac:dyDescent="0.3">
      <c r="A242" s="1098">
        <v>1</v>
      </c>
      <c r="B242" s="1098">
        <v>1</v>
      </c>
      <c r="C242" s="1099" t="s">
        <v>227</v>
      </c>
      <c r="D242" s="1099" t="s">
        <v>220</v>
      </c>
      <c r="E242" s="1099" t="s">
        <v>220</v>
      </c>
      <c r="F242" s="1099" t="s">
        <v>451</v>
      </c>
      <c r="G242" s="1099"/>
      <c r="H242" s="1099"/>
      <c r="I242" s="1099"/>
      <c r="J242" s="1099"/>
      <c r="K242" s="1100" t="s">
        <v>452</v>
      </c>
      <c r="L242" s="1101">
        <f>SUM(L243:L245)</f>
        <v>0</v>
      </c>
      <c r="M242" s="1101">
        <f t="shared" ref="M242:Z242" si="100">SUM(M243:M245)</f>
        <v>0</v>
      </c>
      <c r="N242" s="1101">
        <f t="shared" si="100"/>
        <v>0</v>
      </c>
      <c r="O242" s="1101">
        <f t="shared" si="100"/>
        <v>0</v>
      </c>
      <c r="P242" s="1101">
        <f t="shared" si="100"/>
        <v>0</v>
      </c>
      <c r="Q242" s="1101"/>
      <c r="R242" s="1101">
        <f t="shared" si="100"/>
        <v>0</v>
      </c>
      <c r="S242" s="1101"/>
      <c r="T242" s="1101">
        <f t="shared" si="100"/>
        <v>0</v>
      </c>
      <c r="U242" s="1101"/>
      <c r="V242" s="1101">
        <f t="shared" si="100"/>
        <v>0</v>
      </c>
      <c r="W242" s="1101"/>
      <c r="X242" s="1101">
        <f t="shared" si="100"/>
        <v>0</v>
      </c>
      <c r="Y242" s="1101">
        <f t="shared" si="100"/>
        <v>0</v>
      </c>
      <c r="Z242" s="1101">
        <f t="shared" si="100"/>
        <v>0</v>
      </c>
      <c r="AA242" s="1106">
        <f t="shared" si="90"/>
        <v>0</v>
      </c>
      <c r="AB242" s="1102" t="e">
        <f t="shared" si="82"/>
        <v>#DIV/0!</v>
      </c>
      <c r="AC242" s="1103"/>
    </row>
    <row r="243" spans="1:29" ht="22.5" hidden="1" customHeight="1" thickTop="1" thickBot="1" x14ac:dyDescent="0.3">
      <c r="A243" s="425">
        <v>1</v>
      </c>
      <c r="B243" s="425">
        <v>1</v>
      </c>
      <c r="C243" s="505" t="s">
        <v>227</v>
      </c>
      <c r="D243" s="505" t="s">
        <v>220</v>
      </c>
      <c r="E243" s="505" t="s">
        <v>220</v>
      </c>
      <c r="F243" s="505" t="s">
        <v>451</v>
      </c>
      <c r="G243" s="505" t="s">
        <v>216</v>
      </c>
      <c r="H243" s="505"/>
      <c r="I243" s="505"/>
      <c r="J243" s="505"/>
      <c r="K243" s="609" t="s">
        <v>453</v>
      </c>
      <c r="L243" s="1110"/>
      <c r="M243" s="1110"/>
      <c r="N243" s="1110"/>
      <c r="O243" s="1110">
        <f>+L243+M243-N243</f>
        <v>0</v>
      </c>
      <c r="P243" s="1110"/>
      <c r="Q243" s="1110"/>
      <c r="R243" s="1110"/>
      <c r="S243" s="1110"/>
      <c r="T243" s="1110"/>
      <c r="U243" s="1110"/>
      <c r="V243" s="1110"/>
      <c r="W243" s="1110"/>
      <c r="X243" s="1110"/>
      <c r="Y243" s="1110"/>
      <c r="Z243" s="1110"/>
      <c r="AA243" s="1106">
        <f t="shared" si="90"/>
        <v>0</v>
      </c>
      <c r="AB243" s="1113" t="e">
        <f t="shared" si="82"/>
        <v>#DIV/0!</v>
      </c>
      <c r="AC243" s="729"/>
    </row>
    <row r="244" spans="1:29" ht="22.5" hidden="1" customHeight="1" thickTop="1" thickBot="1" x14ac:dyDescent="0.3">
      <c r="A244" s="425">
        <v>1</v>
      </c>
      <c r="B244" s="425">
        <v>1</v>
      </c>
      <c r="C244" s="505" t="s">
        <v>227</v>
      </c>
      <c r="D244" s="505" t="s">
        <v>220</v>
      </c>
      <c r="E244" s="505" t="s">
        <v>220</v>
      </c>
      <c r="F244" s="505" t="s">
        <v>451</v>
      </c>
      <c r="G244" s="505" t="s">
        <v>227</v>
      </c>
      <c r="H244" s="505"/>
      <c r="I244" s="505"/>
      <c r="J244" s="505"/>
      <c r="K244" s="609" t="s">
        <v>454</v>
      </c>
      <c r="L244" s="1110"/>
      <c r="M244" s="1110"/>
      <c r="N244" s="1110"/>
      <c r="O244" s="1110">
        <f>+L244+M244-N244</f>
        <v>0</v>
      </c>
      <c r="P244" s="1110"/>
      <c r="Q244" s="1110"/>
      <c r="R244" s="1110"/>
      <c r="S244" s="1110"/>
      <c r="T244" s="1110"/>
      <c r="U244" s="1110"/>
      <c r="V244" s="1110"/>
      <c r="W244" s="1110"/>
      <c r="X244" s="1110"/>
      <c r="Y244" s="1110"/>
      <c r="Z244" s="1110"/>
      <c r="AA244" s="1106">
        <f t="shared" si="90"/>
        <v>0</v>
      </c>
      <c r="AB244" s="1113" t="e">
        <f t="shared" si="82"/>
        <v>#DIV/0!</v>
      </c>
      <c r="AC244" s="729"/>
    </row>
    <row r="245" spans="1:29" ht="24" hidden="1" thickTop="1" thickBot="1" x14ac:dyDescent="0.3">
      <c r="A245" s="425">
        <v>1</v>
      </c>
      <c r="B245" s="425">
        <v>1</v>
      </c>
      <c r="C245" s="505" t="s">
        <v>227</v>
      </c>
      <c r="D245" s="505" t="s">
        <v>220</v>
      </c>
      <c r="E245" s="505" t="s">
        <v>220</v>
      </c>
      <c r="F245" s="505" t="s">
        <v>451</v>
      </c>
      <c r="G245" s="505" t="s">
        <v>229</v>
      </c>
      <c r="H245" s="505"/>
      <c r="I245" s="505"/>
      <c r="J245" s="505"/>
      <c r="K245" s="609" t="s">
        <v>455</v>
      </c>
      <c r="L245" s="1110"/>
      <c r="M245" s="1110"/>
      <c r="N245" s="1110"/>
      <c r="O245" s="1110">
        <f>+L245+M245-N245</f>
        <v>0</v>
      </c>
      <c r="P245" s="1110"/>
      <c r="Q245" s="1110"/>
      <c r="R245" s="1110"/>
      <c r="S245" s="1110"/>
      <c r="T245" s="1110"/>
      <c r="U245" s="1110"/>
      <c r="V245" s="1110"/>
      <c r="W245" s="1110"/>
      <c r="X245" s="1110"/>
      <c r="Y245" s="1110"/>
      <c r="Z245" s="1110"/>
      <c r="AA245" s="1106">
        <f t="shared" si="90"/>
        <v>0</v>
      </c>
      <c r="AB245" s="1113" t="e">
        <f t="shared" si="82"/>
        <v>#DIV/0!</v>
      </c>
      <c r="AC245" s="729"/>
    </row>
    <row r="246" spans="1:29" s="1097" customFormat="1" ht="22.5" hidden="1" customHeight="1" thickTop="1" thickBot="1" x14ac:dyDescent="0.3">
      <c r="A246" s="1091">
        <v>1</v>
      </c>
      <c r="B246" s="1091">
        <v>1</v>
      </c>
      <c r="C246" s="1092" t="s">
        <v>227</v>
      </c>
      <c r="D246" s="1092" t="s">
        <v>220</v>
      </c>
      <c r="E246" s="1092" t="s">
        <v>231</v>
      </c>
      <c r="F246" s="1092"/>
      <c r="G246" s="1092"/>
      <c r="H246" s="1092"/>
      <c r="I246" s="1092"/>
      <c r="J246" s="1092"/>
      <c r="K246" s="1093" t="s">
        <v>456</v>
      </c>
      <c r="L246" s="1094">
        <f>+L247+L265+L278</f>
        <v>0</v>
      </c>
      <c r="M246" s="1094">
        <f t="shared" ref="M246:Z246" si="101">+M247+M265+M278</f>
        <v>0</v>
      </c>
      <c r="N246" s="1094">
        <f t="shared" si="101"/>
        <v>0</v>
      </c>
      <c r="O246" s="1094">
        <f t="shared" si="101"/>
        <v>0</v>
      </c>
      <c r="P246" s="1094">
        <f t="shared" si="101"/>
        <v>0</v>
      </c>
      <c r="Q246" s="1094"/>
      <c r="R246" s="1094">
        <f t="shared" si="101"/>
        <v>0</v>
      </c>
      <c r="S246" s="1094"/>
      <c r="T246" s="1094">
        <f t="shared" si="101"/>
        <v>0</v>
      </c>
      <c r="U246" s="1094"/>
      <c r="V246" s="1094">
        <f t="shared" si="101"/>
        <v>0</v>
      </c>
      <c r="W246" s="1094"/>
      <c r="X246" s="1094">
        <f t="shared" si="101"/>
        <v>0</v>
      </c>
      <c r="Y246" s="1094">
        <f t="shared" si="101"/>
        <v>0</v>
      </c>
      <c r="Z246" s="1094">
        <f t="shared" si="101"/>
        <v>0</v>
      </c>
      <c r="AA246" s="1106">
        <f t="shared" si="90"/>
        <v>0</v>
      </c>
      <c r="AB246" s="1095" t="e">
        <f t="shared" si="82"/>
        <v>#DIV/0!</v>
      </c>
      <c r="AC246" s="1096"/>
    </row>
    <row r="247" spans="1:29" s="1104" customFormat="1" ht="3.75" hidden="1" customHeight="1" thickTop="1" thickBot="1" x14ac:dyDescent="0.3">
      <c r="A247" s="1098">
        <v>1</v>
      </c>
      <c r="B247" s="1098">
        <v>1</v>
      </c>
      <c r="C247" s="1099" t="s">
        <v>227</v>
      </c>
      <c r="D247" s="1099" t="s">
        <v>220</v>
      </c>
      <c r="E247" s="1099" t="s">
        <v>231</v>
      </c>
      <c r="F247" s="1099" t="s">
        <v>307</v>
      </c>
      <c r="G247" s="1099"/>
      <c r="H247" s="1099"/>
      <c r="I247" s="1099"/>
      <c r="J247" s="1099"/>
      <c r="K247" s="1100" t="s">
        <v>457</v>
      </c>
      <c r="L247" s="1101">
        <f>+L248+L252+L256</f>
        <v>0</v>
      </c>
      <c r="M247" s="1101">
        <f t="shared" ref="M247:Z247" si="102">+M248+M252+M256</f>
        <v>0</v>
      </c>
      <c r="N247" s="1101">
        <f t="shared" si="102"/>
        <v>0</v>
      </c>
      <c r="O247" s="1101">
        <f t="shared" si="102"/>
        <v>0</v>
      </c>
      <c r="P247" s="1101">
        <f t="shared" si="102"/>
        <v>0</v>
      </c>
      <c r="Q247" s="1101"/>
      <c r="R247" s="1101">
        <f t="shared" si="102"/>
        <v>0</v>
      </c>
      <c r="S247" s="1101"/>
      <c r="T247" s="1101">
        <f t="shared" si="102"/>
        <v>0</v>
      </c>
      <c r="U247" s="1101"/>
      <c r="V247" s="1101">
        <f t="shared" si="102"/>
        <v>0</v>
      </c>
      <c r="W247" s="1101"/>
      <c r="X247" s="1101">
        <f t="shared" si="102"/>
        <v>0</v>
      </c>
      <c r="Y247" s="1101">
        <f t="shared" si="102"/>
        <v>0</v>
      </c>
      <c r="Z247" s="1101">
        <f t="shared" si="102"/>
        <v>0</v>
      </c>
      <c r="AA247" s="1106">
        <f t="shared" si="90"/>
        <v>0</v>
      </c>
      <c r="AB247" s="1102" t="e">
        <f t="shared" si="82"/>
        <v>#DIV/0!</v>
      </c>
      <c r="AC247" s="1103"/>
    </row>
    <row r="248" spans="1:29" s="1128" customFormat="1" ht="22.5" hidden="1" customHeight="1" thickTop="1" thickBot="1" x14ac:dyDescent="0.3">
      <c r="A248" s="1121">
        <v>1</v>
      </c>
      <c r="B248" s="1121">
        <v>1</v>
      </c>
      <c r="C248" s="1122" t="s">
        <v>227</v>
      </c>
      <c r="D248" s="1122" t="s">
        <v>220</v>
      </c>
      <c r="E248" s="1122" t="s">
        <v>231</v>
      </c>
      <c r="F248" s="1122" t="s">
        <v>307</v>
      </c>
      <c r="G248" s="1122" t="s">
        <v>220</v>
      </c>
      <c r="H248" s="1122"/>
      <c r="I248" s="1122"/>
      <c r="J248" s="1122"/>
      <c r="K248" s="1124" t="s">
        <v>458</v>
      </c>
      <c r="L248" s="1125">
        <f>SUM(L249:L251)</f>
        <v>0</v>
      </c>
      <c r="M248" s="1125">
        <f t="shared" ref="M248:Z248" si="103">SUM(M249:M251)</f>
        <v>0</v>
      </c>
      <c r="N248" s="1125">
        <f t="shared" si="103"/>
        <v>0</v>
      </c>
      <c r="O248" s="1125">
        <f t="shared" si="103"/>
        <v>0</v>
      </c>
      <c r="P248" s="1125">
        <f t="shared" si="103"/>
        <v>0</v>
      </c>
      <c r="Q248" s="1125"/>
      <c r="R248" s="1125">
        <f t="shared" si="103"/>
        <v>0</v>
      </c>
      <c r="S248" s="1125"/>
      <c r="T248" s="1125">
        <f t="shared" si="103"/>
        <v>0</v>
      </c>
      <c r="U248" s="1125"/>
      <c r="V248" s="1125">
        <f t="shared" si="103"/>
        <v>0</v>
      </c>
      <c r="W248" s="1125"/>
      <c r="X248" s="1125">
        <f t="shared" si="103"/>
        <v>0</v>
      </c>
      <c r="Y248" s="1125">
        <f t="shared" si="103"/>
        <v>0</v>
      </c>
      <c r="Z248" s="1125">
        <f t="shared" si="103"/>
        <v>0</v>
      </c>
      <c r="AA248" s="1106">
        <f t="shared" si="90"/>
        <v>0</v>
      </c>
      <c r="AB248" s="1126" t="e">
        <f t="shared" si="82"/>
        <v>#DIV/0!</v>
      </c>
      <c r="AC248" s="1127"/>
    </row>
    <row r="249" spans="1:29" ht="22.5" hidden="1" customHeight="1" thickTop="1" thickBot="1" x14ac:dyDescent="0.3">
      <c r="A249" s="425">
        <v>1</v>
      </c>
      <c r="B249" s="425">
        <v>1</v>
      </c>
      <c r="C249" s="505" t="s">
        <v>227</v>
      </c>
      <c r="D249" s="505" t="s">
        <v>220</v>
      </c>
      <c r="E249" s="505" t="s">
        <v>231</v>
      </c>
      <c r="F249" s="505" t="s">
        <v>307</v>
      </c>
      <c r="G249" s="505" t="s">
        <v>220</v>
      </c>
      <c r="H249" s="505" t="s">
        <v>216</v>
      </c>
      <c r="I249" s="505"/>
      <c r="J249" s="505"/>
      <c r="K249" s="609" t="s">
        <v>459</v>
      </c>
      <c r="L249" s="1110"/>
      <c r="M249" s="1110"/>
      <c r="N249" s="1110"/>
      <c r="O249" s="1110">
        <f>+L249+M249-N249</f>
        <v>0</v>
      </c>
      <c r="P249" s="1110"/>
      <c r="Q249" s="1110"/>
      <c r="R249" s="1110"/>
      <c r="S249" s="1110"/>
      <c r="T249" s="1110"/>
      <c r="U249" s="1110"/>
      <c r="V249" s="1110"/>
      <c r="W249" s="1110"/>
      <c r="X249" s="1110"/>
      <c r="Y249" s="1110"/>
      <c r="Z249" s="1110"/>
      <c r="AA249" s="1106">
        <f t="shared" si="90"/>
        <v>0</v>
      </c>
      <c r="AB249" s="1113" t="e">
        <f t="shared" si="82"/>
        <v>#DIV/0!</v>
      </c>
      <c r="AC249" s="729"/>
    </row>
    <row r="250" spans="1:29" ht="22.5" hidden="1" customHeight="1" thickTop="1" thickBot="1" x14ac:dyDescent="0.3">
      <c r="A250" s="425">
        <v>1</v>
      </c>
      <c r="B250" s="425">
        <v>1</v>
      </c>
      <c r="C250" s="505" t="s">
        <v>227</v>
      </c>
      <c r="D250" s="505" t="s">
        <v>220</v>
      </c>
      <c r="E250" s="505" t="s">
        <v>231</v>
      </c>
      <c r="F250" s="505" t="s">
        <v>307</v>
      </c>
      <c r="G250" s="505" t="s">
        <v>220</v>
      </c>
      <c r="H250" s="505" t="s">
        <v>227</v>
      </c>
      <c r="I250" s="505"/>
      <c r="J250" s="505"/>
      <c r="K250" s="609" t="s">
        <v>460</v>
      </c>
      <c r="L250" s="1110"/>
      <c r="M250" s="1110"/>
      <c r="N250" s="1110"/>
      <c r="O250" s="1110">
        <f>+L250+M250-N250</f>
        <v>0</v>
      </c>
      <c r="P250" s="1110"/>
      <c r="Q250" s="1110"/>
      <c r="R250" s="1110"/>
      <c r="S250" s="1110"/>
      <c r="T250" s="1110"/>
      <c r="U250" s="1110"/>
      <c r="V250" s="1110"/>
      <c r="W250" s="1110"/>
      <c r="X250" s="1110"/>
      <c r="Y250" s="1110"/>
      <c r="Z250" s="1110"/>
      <c r="AA250" s="1106">
        <f t="shared" si="90"/>
        <v>0</v>
      </c>
      <c r="AB250" s="1113" t="e">
        <f t="shared" si="82"/>
        <v>#DIV/0!</v>
      </c>
      <c r="AC250" s="729"/>
    </row>
    <row r="251" spans="1:29" ht="22.5" hidden="1" customHeight="1" thickTop="1" thickBot="1" x14ac:dyDescent="0.3">
      <c r="A251" s="425">
        <v>1</v>
      </c>
      <c r="B251" s="425">
        <v>1</v>
      </c>
      <c r="C251" s="505" t="s">
        <v>227</v>
      </c>
      <c r="D251" s="505" t="s">
        <v>220</v>
      </c>
      <c r="E251" s="505" t="s">
        <v>231</v>
      </c>
      <c r="F251" s="505" t="s">
        <v>307</v>
      </c>
      <c r="G251" s="505" t="s">
        <v>220</v>
      </c>
      <c r="H251" s="505" t="s">
        <v>229</v>
      </c>
      <c r="I251" s="505"/>
      <c r="J251" s="505"/>
      <c r="K251" s="609" t="s">
        <v>461</v>
      </c>
      <c r="L251" s="1110"/>
      <c r="M251" s="1110"/>
      <c r="N251" s="1110"/>
      <c r="O251" s="1110">
        <f>+L251+M251-N251</f>
        <v>0</v>
      </c>
      <c r="P251" s="1110"/>
      <c r="Q251" s="1110"/>
      <c r="R251" s="1110"/>
      <c r="S251" s="1110"/>
      <c r="T251" s="1110"/>
      <c r="U251" s="1110"/>
      <c r="V251" s="1110"/>
      <c r="W251" s="1110"/>
      <c r="X251" s="1110"/>
      <c r="Y251" s="1110"/>
      <c r="Z251" s="1110"/>
      <c r="AA251" s="1106">
        <f t="shared" si="90"/>
        <v>0</v>
      </c>
      <c r="AB251" s="1113" t="e">
        <f t="shared" si="82"/>
        <v>#DIV/0!</v>
      </c>
      <c r="AC251" s="729"/>
    </row>
    <row r="252" spans="1:29" s="1128" customFormat="1" ht="22.5" hidden="1" customHeight="1" thickTop="1" thickBot="1" x14ac:dyDescent="0.3">
      <c r="A252" s="1121">
        <v>1</v>
      </c>
      <c r="B252" s="1121">
        <v>1</v>
      </c>
      <c r="C252" s="1122" t="s">
        <v>227</v>
      </c>
      <c r="D252" s="1122" t="s">
        <v>220</v>
      </c>
      <c r="E252" s="1122" t="s">
        <v>231</v>
      </c>
      <c r="F252" s="1122" t="s">
        <v>307</v>
      </c>
      <c r="G252" s="1122" t="s">
        <v>231</v>
      </c>
      <c r="H252" s="1122"/>
      <c r="I252" s="1122"/>
      <c r="J252" s="1122"/>
      <c r="K252" s="1124" t="s">
        <v>462</v>
      </c>
      <c r="L252" s="1125">
        <f>SUM(L253:L255)</f>
        <v>0</v>
      </c>
      <c r="M252" s="1125">
        <f t="shared" ref="M252:Z252" si="104">SUM(M253:M255)</f>
        <v>0</v>
      </c>
      <c r="N252" s="1125">
        <f t="shared" si="104"/>
        <v>0</v>
      </c>
      <c r="O252" s="1125">
        <f t="shared" si="104"/>
        <v>0</v>
      </c>
      <c r="P252" s="1125">
        <f t="shared" si="104"/>
        <v>0</v>
      </c>
      <c r="Q252" s="1125"/>
      <c r="R252" s="1125">
        <f t="shared" si="104"/>
        <v>0</v>
      </c>
      <c r="S252" s="1125"/>
      <c r="T252" s="1125">
        <f t="shared" si="104"/>
        <v>0</v>
      </c>
      <c r="U252" s="1125"/>
      <c r="V252" s="1125">
        <f t="shared" si="104"/>
        <v>0</v>
      </c>
      <c r="W252" s="1125"/>
      <c r="X252" s="1125">
        <f t="shared" si="104"/>
        <v>0</v>
      </c>
      <c r="Y252" s="1125">
        <f t="shared" si="104"/>
        <v>0</v>
      </c>
      <c r="Z252" s="1125">
        <f t="shared" si="104"/>
        <v>0</v>
      </c>
      <c r="AA252" s="1106">
        <f t="shared" si="90"/>
        <v>0</v>
      </c>
      <c r="AB252" s="1126" t="e">
        <f t="shared" si="82"/>
        <v>#DIV/0!</v>
      </c>
      <c r="AC252" s="1127"/>
    </row>
    <row r="253" spans="1:29" ht="22.5" hidden="1" customHeight="1" thickTop="1" thickBot="1" x14ac:dyDescent="0.3">
      <c r="A253" s="425">
        <v>1</v>
      </c>
      <c r="B253" s="425">
        <v>1</v>
      </c>
      <c r="C253" s="505" t="s">
        <v>227</v>
      </c>
      <c r="D253" s="505" t="s">
        <v>220</v>
      </c>
      <c r="E253" s="505" t="s">
        <v>231</v>
      </c>
      <c r="F253" s="505" t="s">
        <v>307</v>
      </c>
      <c r="G253" s="505" t="s">
        <v>231</v>
      </c>
      <c r="H253" s="505" t="s">
        <v>216</v>
      </c>
      <c r="I253" s="505"/>
      <c r="J253" s="505"/>
      <c r="K253" s="609" t="s">
        <v>463</v>
      </c>
      <c r="L253" s="1110"/>
      <c r="M253" s="1110"/>
      <c r="N253" s="1110"/>
      <c r="O253" s="1110">
        <f>+L253+M253-N253</f>
        <v>0</v>
      </c>
      <c r="P253" s="1110"/>
      <c r="Q253" s="1110"/>
      <c r="R253" s="1110"/>
      <c r="S253" s="1110"/>
      <c r="T253" s="1110"/>
      <c r="U253" s="1110"/>
      <c r="V253" s="1110"/>
      <c r="W253" s="1110"/>
      <c r="X253" s="1110"/>
      <c r="Y253" s="1110"/>
      <c r="Z253" s="1110"/>
      <c r="AA253" s="1106">
        <f t="shared" si="90"/>
        <v>0</v>
      </c>
      <c r="AB253" s="1113" t="e">
        <f t="shared" si="82"/>
        <v>#DIV/0!</v>
      </c>
      <c r="AC253" s="729"/>
    </row>
    <row r="254" spans="1:29" ht="22.5" hidden="1" customHeight="1" thickTop="1" thickBot="1" x14ac:dyDescent="0.3">
      <c r="A254" s="425">
        <v>1</v>
      </c>
      <c r="B254" s="425">
        <v>1</v>
      </c>
      <c r="C254" s="505" t="s">
        <v>227</v>
      </c>
      <c r="D254" s="505" t="s">
        <v>220</v>
      </c>
      <c r="E254" s="505" t="s">
        <v>231</v>
      </c>
      <c r="F254" s="505" t="s">
        <v>307</v>
      </c>
      <c r="G254" s="505" t="s">
        <v>231</v>
      </c>
      <c r="H254" s="505" t="s">
        <v>227</v>
      </c>
      <c r="I254" s="505"/>
      <c r="J254" s="505"/>
      <c r="K254" s="609" t="s">
        <v>464</v>
      </c>
      <c r="L254" s="1110"/>
      <c r="M254" s="1110"/>
      <c r="N254" s="1110"/>
      <c r="O254" s="1110">
        <f>+L254+M254-N254</f>
        <v>0</v>
      </c>
      <c r="P254" s="1110"/>
      <c r="Q254" s="1110"/>
      <c r="R254" s="1110"/>
      <c r="S254" s="1110"/>
      <c r="T254" s="1110"/>
      <c r="U254" s="1110"/>
      <c r="V254" s="1110"/>
      <c r="W254" s="1110"/>
      <c r="X254" s="1110"/>
      <c r="Y254" s="1110"/>
      <c r="Z254" s="1110"/>
      <c r="AA254" s="1106">
        <f t="shared" si="90"/>
        <v>0</v>
      </c>
      <c r="AB254" s="1113" t="e">
        <f t="shared" si="82"/>
        <v>#DIV/0!</v>
      </c>
      <c r="AC254" s="729"/>
    </row>
    <row r="255" spans="1:29" ht="15" hidden="1" customHeight="1" thickTop="1" thickBot="1" x14ac:dyDescent="0.3">
      <c r="A255" s="425">
        <v>1</v>
      </c>
      <c r="B255" s="425">
        <v>1</v>
      </c>
      <c r="C255" s="505" t="s">
        <v>227</v>
      </c>
      <c r="D255" s="505" t="s">
        <v>220</v>
      </c>
      <c r="E255" s="505" t="s">
        <v>231</v>
      </c>
      <c r="F255" s="505" t="s">
        <v>307</v>
      </c>
      <c r="G255" s="505" t="s">
        <v>231</v>
      </c>
      <c r="H255" s="505" t="s">
        <v>229</v>
      </c>
      <c r="I255" s="505"/>
      <c r="J255" s="505"/>
      <c r="K255" s="609" t="s">
        <v>465</v>
      </c>
      <c r="L255" s="1110"/>
      <c r="M255" s="1110"/>
      <c r="N255" s="1110"/>
      <c r="O255" s="1110">
        <f>+L255+M255-N255</f>
        <v>0</v>
      </c>
      <c r="P255" s="1110"/>
      <c r="Q255" s="1110"/>
      <c r="R255" s="1110"/>
      <c r="S255" s="1110"/>
      <c r="T255" s="1110"/>
      <c r="U255" s="1110"/>
      <c r="V255" s="1110"/>
      <c r="W255" s="1110"/>
      <c r="X255" s="1110"/>
      <c r="Y255" s="1110"/>
      <c r="Z255" s="1110"/>
      <c r="AA255" s="1106">
        <f t="shared" si="90"/>
        <v>0</v>
      </c>
      <c r="AB255" s="1113" t="e">
        <f t="shared" si="82"/>
        <v>#DIV/0!</v>
      </c>
      <c r="AC255" s="729"/>
    </row>
    <row r="256" spans="1:29" s="1128" customFormat="1" ht="20.25" hidden="1" customHeight="1" thickTop="1" thickBot="1" x14ac:dyDescent="0.3">
      <c r="A256" s="1121">
        <v>1</v>
      </c>
      <c r="B256" s="1121">
        <v>1</v>
      </c>
      <c r="C256" s="1122" t="s">
        <v>227</v>
      </c>
      <c r="D256" s="1122" t="s">
        <v>220</v>
      </c>
      <c r="E256" s="1122" t="s">
        <v>231</v>
      </c>
      <c r="F256" s="1122" t="s">
        <v>307</v>
      </c>
      <c r="G256" s="1122" t="s">
        <v>305</v>
      </c>
      <c r="H256" s="1122"/>
      <c r="I256" s="1122"/>
      <c r="J256" s="1122"/>
      <c r="K256" s="1124" t="s">
        <v>466</v>
      </c>
      <c r="L256" s="1125">
        <f>+L257+L261</f>
        <v>0</v>
      </c>
      <c r="M256" s="1125">
        <f t="shared" ref="M256:Z256" si="105">+M257+M261</f>
        <v>0</v>
      </c>
      <c r="N256" s="1125">
        <f t="shared" si="105"/>
        <v>0</v>
      </c>
      <c r="O256" s="1125">
        <f t="shared" si="105"/>
        <v>0</v>
      </c>
      <c r="P256" s="1125">
        <f t="shared" si="105"/>
        <v>0</v>
      </c>
      <c r="Q256" s="1125"/>
      <c r="R256" s="1125">
        <f t="shared" si="105"/>
        <v>0</v>
      </c>
      <c r="S256" s="1125"/>
      <c r="T256" s="1125">
        <f t="shared" si="105"/>
        <v>0</v>
      </c>
      <c r="U256" s="1125"/>
      <c r="V256" s="1125">
        <f t="shared" si="105"/>
        <v>0</v>
      </c>
      <c r="W256" s="1125"/>
      <c r="X256" s="1125">
        <f t="shared" si="105"/>
        <v>0</v>
      </c>
      <c r="Y256" s="1125">
        <f t="shared" si="105"/>
        <v>0</v>
      </c>
      <c r="Z256" s="1125">
        <f t="shared" si="105"/>
        <v>0</v>
      </c>
      <c r="AA256" s="1106">
        <f t="shared" si="90"/>
        <v>0</v>
      </c>
      <c r="AB256" s="1126" t="e">
        <f t="shared" si="82"/>
        <v>#DIV/0!</v>
      </c>
      <c r="AC256" s="1127"/>
    </row>
    <row r="257" spans="1:29" s="1062" customFormat="1" ht="35.25" hidden="1" customHeight="1" thickTop="1" thickBot="1" x14ac:dyDescent="0.3">
      <c r="A257" s="424">
        <v>1</v>
      </c>
      <c r="B257" s="424">
        <v>1</v>
      </c>
      <c r="C257" s="519" t="s">
        <v>227</v>
      </c>
      <c r="D257" s="519" t="s">
        <v>220</v>
      </c>
      <c r="E257" s="519" t="s">
        <v>231</v>
      </c>
      <c r="F257" s="519" t="s">
        <v>307</v>
      </c>
      <c r="G257" s="519" t="s">
        <v>305</v>
      </c>
      <c r="H257" s="519" t="s">
        <v>220</v>
      </c>
      <c r="I257" s="519"/>
      <c r="J257" s="519"/>
      <c r="K257" s="1105" t="s">
        <v>467</v>
      </c>
      <c r="L257" s="1106">
        <f>SUM(L258:L260)</f>
        <v>0</v>
      </c>
      <c r="M257" s="1106">
        <f t="shared" ref="M257:Z257" si="106">SUM(M258:M260)</f>
        <v>0</v>
      </c>
      <c r="N257" s="1106">
        <f t="shared" si="106"/>
        <v>0</v>
      </c>
      <c r="O257" s="1106">
        <f t="shared" si="106"/>
        <v>0</v>
      </c>
      <c r="P257" s="1106">
        <f t="shared" si="106"/>
        <v>0</v>
      </c>
      <c r="Q257" s="1106"/>
      <c r="R257" s="1106">
        <f t="shared" si="106"/>
        <v>0</v>
      </c>
      <c r="S257" s="1106"/>
      <c r="T257" s="1106">
        <f t="shared" si="106"/>
        <v>0</v>
      </c>
      <c r="U257" s="1106"/>
      <c r="V257" s="1106">
        <f t="shared" si="106"/>
        <v>0</v>
      </c>
      <c r="W257" s="1106"/>
      <c r="X257" s="1106">
        <f t="shared" si="106"/>
        <v>0</v>
      </c>
      <c r="Y257" s="1106">
        <f t="shared" si="106"/>
        <v>0</v>
      </c>
      <c r="Z257" s="1106">
        <f t="shared" si="106"/>
        <v>0</v>
      </c>
      <c r="AA257" s="1106">
        <f t="shared" si="90"/>
        <v>0</v>
      </c>
      <c r="AB257" s="1107" t="e">
        <f t="shared" si="82"/>
        <v>#DIV/0!</v>
      </c>
      <c r="AC257" s="522"/>
    </row>
    <row r="258" spans="1:29" ht="33.75" hidden="1" customHeight="1" thickTop="1" thickBot="1" x14ac:dyDescent="0.3">
      <c r="A258" s="425">
        <v>1</v>
      </c>
      <c r="B258" s="425">
        <v>1</v>
      </c>
      <c r="C258" s="505" t="s">
        <v>227</v>
      </c>
      <c r="D258" s="505" t="s">
        <v>220</v>
      </c>
      <c r="E258" s="505" t="s">
        <v>231</v>
      </c>
      <c r="F258" s="505" t="s">
        <v>307</v>
      </c>
      <c r="G258" s="505" t="s">
        <v>305</v>
      </c>
      <c r="H258" s="505" t="s">
        <v>220</v>
      </c>
      <c r="I258" s="505" t="s">
        <v>216</v>
      </c>
      <c r="J258" s="505"/>
      <c r="K258" s="609" t="s">
        <v>468</v>
      </c>
      <c r="L258" s="1110"/>
      <c r="M258" s="1110"/>
      <c r="N258" s="1110"/>
      <c r="O258" s="1110">
        <f>+L258+M258-N258</f>
        <v>0</v>
      </c>
      <c r="P258" s="1110"/>
      <c r="Q258" s="1110"/>
      <c r="R258" s="1110"/>
      <c r="S258" s="1110"/>
      <c r="T258" s="1110"/>
      <c r="U258" s="1110"/>
      <c r="V258" s="1110"/>
      <c r="W258" s="1110"/>
      <c r="X258" s="1110"/>
      <c r="Y258" s="1110"/>
      <c r="Z258" s="1110"/>
      <c r="AA258" s="1106">
        <f t="shared" si="90"/>
        <v>0</v>
      </c>
      <c r="AB258" s="1113" t="e">
        <f t="shared" si="82"/>
        <v>#DIV/0!</v>
      </c>
      <c r="AC258" s="729"/>
    </row>
    <row r="259" spans="1:29" ht="27.75" hidden="1" customHeight="1" thickTop="1" thickBot="1" x14ac:dyDescent="0.3">
      <c r="A259" s="425">
        <v>1</v>
      </c>
      <c r="B259" s="425">
        <v>1</v>
      </c>
      <c r="C259" s="505" t="s">
        <v>227</v>
      </c>
      <c r="D259" s="505" t="s">
        <v>220</v>
      </c>
      <c r="E259" s="505" t="s">
        <v>231</v>
      </c>
      <c r="F259" s="505" t="s">
        <v>307</v>
      </c>
      <c r="G259" s="505" t="s">
        <v>305</v>
      </c>
      <c r="H259" s="505" t="s">
        <v>220</v>
      </c>
      <c r="I259" s="505" t="s">
        <v>227</v>
      </c>
      <c r="J259" s="505"/>
      <c r="K259" s="609" t="s">
        <v>469</v>
      </c>
      <c r="L259" s="1110"/>
      <c r="M259" s="1110"/>
      <c r="N259" s="1110"/>
      <c r="O259" s="1110">
        <f>+L259+M259-N259</f>
        <v>0</v>
      </c>
      <c r="P259" s="1110"/>
      <c r="Q259" s="1110"/>
      <c r="R259" s="1110"/>
      <c r="S259" s="1110"/>
      <c r="T259" s="1110"/>
      <c r="U259" s="1110"/>
      <c r="V259" s="1110"/>
      <c r="W259" s="1110"/>
      <c r="X259" s="1110"/>
      <c r="Y259" s="1110"/>
      <c r="Z259" s="1110"/>
      <c r="AA259" s="1106">
        <f t="shared" si="90"/>
        <v>0</v>
      </c>
      <c r="AB259" s="1113" t="e">
        <f t="shared" si="82"/>
        <v>#DIV/0!</v>
      </c>
      <c r="AC259" s="729"/>
    </row>
    <row r="260" spans="1:29" ht="39.75" hidden="1" customHeight="1" thickTop="1" thickBot="1" x14ac:dyDescent="0.3">
      <c r="A260" s="425">
        <v>1</v>
      </c>
      <c r="B260" s="425">
        <v>1</v>
      </c>
      <c r="C260" s="505" t="s">
        <v>227</v>
      </c>
      <c r="D260" s="505" t="s">
        <v>220</v>
      </c>
      <c r="E260" s="505" t="s">
        <v>231</v>
      </c>
      <c r="F260" s="505" t="s">
        <v>307</v>
      </c>
      <c r="G260" s="505" t="s">
        <v>305</v>
      </c>
      <c r="H260" s="505" t="s">
        <v>220</v>
      </c>
      <c r="I260" s="505" t="s">
        <v>229</v>
      </c>
      <c r="J260" s="505"/>
      <c r="K260" s="609" t="s">
        <v>470</v>
      </c>
      <c r="L260" s="1110"/>
      <c r="M260" s="1110"/>
      <c r="N260" s="1110"/>
      <c r="O260" s="1110">
        <f>+L260+M260-N260</f>
        <v>0</v>
      </c>
      <c r="P260" s="1110"/>
      <c r="Q260" s="1110"/>
      <c r="R260" s="1110"/>
      <c r="S260" s="1110"/>
      <c r="T260" s="1110"/>
      <c r="U260" s="1110"/>
      <c r="V260" s="1110"/>
      <c r="W260" s="1110"/>
      <c r="X260" s="1110"/>
      <c r="Y260" s="1110"/>
      <c r="Z260" s="1110"/>
      <c r="AA260" s="1106">
        <f t="shared" si="90"/>
        <v>0</v>
      </c>
      <c r="AB260" s="1113" t="e">
        <f t="shared" ref="AB260:AB323" si="107">+AA260/X260</f>
        <v>#DIV/0!</v>
      </c>
      <c r="AC260" s="729"/>
    </row>
    <row r="261" spans="1:29" s="1062" customFormat="1" ht="31.5" hidden="1" customHeight="1" thickTop="1" thickBot="1" x14ac:dyDescent="0.3">
      <c r="A261" s="424">
        <v>1</v>
      </c>
      <c r="B261" s="424">
        <v>1</v>
      </c>
      <c r="C261" s="519" t="s">
        <v>227</v>
      </c>
      <c r="D261" s="519" t="s">
        <v>220</v>
      </c>
      <c r="E261" s="519" t="s">
        <v>231</v>
      </c>
      <c r="F261" s="519" t="s">
        <v>307</v>
      </c>
      <c r="G261" s="519" t="s">
        <v>305</v>
      </c>
      <c r="H261" s="519" t="s">
        <v>231</v>
      </c>
      <c r="I261" s="519"/>
      <c r="J261" s="519"/>
      <c r="K261" s="1105" t="s">
        <v>471</v>
      </c>
      <c r="L261" s="1106">
        <f>SUM(L262:L264)</f>
        <v>0</v>
      </c>
      <c r="M261" s="1106">
        <f t="shared" ref="M261:Z261" si="108">SUM(M262:M264)</f>
        <v>0</v>
      </c>
      <c r="N261" s="1106">
        <f t="shared" si="108"/>
        <v>0</v>
      </c>
      <c r="O261" s="1106">
        <f t="shared" si="108"/>
        <v>0</v>
      </c>
      <c r="P261" s="1106">
        <f t="shared" si="108"/>
        <v>0</v>
      </c>
      <c r="Q261" s="1106"/>
      <c r="R261" s="1106">
        <f t="shared" si="108"/>
        <v>0</v>
      </c>
      <c r="S261" s="1106"/>
      <c r="T261" s="1106">
        <f t="shared" si="108"/>
        <v>0</v>
      </c>
      <c r="U261" s="1106"/>
      <c r="V261" s="1106">
        <f t="shared" si="108"/>
        <v>0</v>
      </c>
      <c r="W261" s="1106"/>
      <c r="X261" s="1106">
        <f t="shared" si="108"/>
        <v>0</v>
      </c>
      <c r="Y261" s="1106">
        <f t="shared" si="108"/>
        <v>0</v>
      </c>
      <c r="Z261" s="1106">
        <f t="shared" si="108"/>
        <v>0</v>
      </c>
      <c r="AA261" s="1106">
        <f t="shared" si="90"/>
        <v>0</v>
      </c>
      <c r="AB261" s="1107" t="e">
        <f t="shared" si="107"/>
        <v>#DIV/0!</v>
      </c>
      <c r="AC261" s="522"/>
    </row>
    <row r="262" spans="1:29" ht="46.5" hidden="1" customHeight="1" thickTop="1" thickBot="1" x14ac:dyDescent="0.3">
      <c r="A262" s="425">
        <v>1</v>
      </c>
      <c r="B262" s="425">
        <v>1</v>
      </c>
      <c r="C262" s="505" t="s">
        <v>227</v>
      </c>
      <c r="D262" s="505" t="s">
        <v>220</v>
      </c>
      <c r="E262" s="505" t="s">
        <v>231</v>
      </c>
      <c r="F262" s="505" t="s">
        <v>307</v>
      </c>
      <c r="G262" s="505" t="s">
        <v>305</v>
      </c>
      <c r="H262" s="505" t="s">
        <v>231</v>
      </c>
      <c r="I262" s="505" t="s">
        <v>216</v>
      </c>
      <c r="J262" s="505"/>
      <c r="K262" s="609" t="s">
        <v>472</v>
      </c>
      <c r="L262" s="1110"/>
      <c r="M262" s="1110"/>
      <c r="N262" s="1110"/>
      <c r="O262" s="1110">
        <f>+L262+M262-N262</f>
        <v>0</v>
      </c>
      <c r="P262" s="1110"/>
      <c r="Q262" s="1110"/>
      <c r="R262" s="1110"/>
      <c r="S262" s="1110"/>
      <c r="T262" s="1110"/>
      <c r="U262" s="1110"/>
      <c r="V262" s="1110"/>
      <c r="W262" s="1110"/>
      <c r="X262" s="1110"/>
      <c r="Y262" s="1110"/>
      <c r="Z262" s="1110"/>
      <c r="AA262" s="1106">
        <f t="shared" si="90"/>
        <v>0</v>
      </c>
      <c r="AB262" s="1113" t="e">
        <f t="shared" si="107"/>
        <v>#DIV/0!</v>
      </c>
      <c r="AC262" s="729"/>
    </row>
    <row r="263" spans="1:29" ht="34.5" hidden="1" customHeight="1" thickTop="1" thickBot="1" x14ac:dyDescent="0.3">
      <c r="A263" s="425">
        <v>1</v>
      </c>
      <c r="B263" s="425">
        <v>1</v>
      </c>
      <c r="C263" s="505" t="s">
        <v>227</v>
      </c>
      <c r="D263" s="505" t="s">
        <v>220</v>
      </c>
      <c r="E263" s="505" t="s">
        <v>231</v>
      </c>
      <c r="F263" s="505" t="s">
        <v>307</v>
      </c>
      <c r="G263" s="505" t="s">
        <v>305</v>
      </c>
      <c r="H263" s="505" t="s">
        <v>231</v>
      </c>
      <c r="I263" s="505" t="s">
        <v>227</v>
      </c>
      <c r="J263" s="505"/>
      <c r="K263" s="609" t="s">
        <v>473</v>
      </c>
      <c r="L263" s="1110"/>
      <c r="M263" s="1110"/>
      <c r="N263" s="1110"/>
      <c r="O263" s="1110">
        <f>+L263+M263-N263</f>
        <v>0</v>
      </c>
      <c r="P263" s="1110"/>
      <c r="Q263" s="1110"/>
      <c r="R263" s="1110"/>
      <c r="S263" s="1110"/>
      <c r="T263" s="1110"/>
      <c r="U263" s="1110"/>
      <c r="V263" s="1110"/>
      <c r="W263" s="1110"/>
      <c r="X263" s="1110"/>
      <c r="Y263" s="1110"/>
      <c r="Z263" s="1110"/>
      <c r="AA263" s="1106">
        <f t="shared" si="90"/>
        <v>0</v>
      </c>
      <c r="AB263" s="1113" t="e">
        <f t="shared" si="107"/>
        <v>#DIV/0!</v>
      </c>
      <c r="AC263" s="729"/>
    </row>
    <row r="264" spans="1:29" ht="60.75" hidden="1" customHeight="1" thickTop="1" thickBot="1" x14ac:dyDescent="0.3">
      <c r="A264" s="425">
        <v>1</v>
      </c>
      <c r="B264" s="425">
        <v>1</v>
      </c>
      <c r="C264" s="505" t="s">
        <v>227</v>
      </c>
      <c r="D264" s="505" t="s">
        <v>220</v>
      </c>
      <c r="E264" s="505" t="s">
        <v>231</v>
      </c>
      <c r="F264" s="505" t="s">
        <v>307</v>
      </c>
      <c r="G264" s="505" t="s">
        <v>305</v>
      </c>
      <c r="H264" s="505" t="s">
        <v>231</v>
      </c>
      <c r="I264" s="505" t="s">
        <v>229</v>
      </c>
      <c r="J264" s="505"/>
      <c r="K264" s="609" t="s">
        <v>474</v>
      </c>
      <c r="L264" s="1110"/>
      <c r="M264" s="1110"/>
      <c r="N264" s="1110"/>
      <c r="O264" s="1110">
        <f>+L264+M264-N264</f>
        <v>0</v>
      </c>
      <c r="P264" s="1110"/>
      <c r="Q264" s="1110"/>
      <c r="R264" s="1110"/>
      <c r="S264" s="1110"/>
      <c r="T264" s="1110"/>
      <c r="U264" s="1110"/>
      <c r="V264" s="1110"/>
      <c r="W264" s="1110"/>
      <c r="X264" s="1110"/>
      <c r="Y264" s="1110"/>
      <c r="Z264" s="1110"/>
      <c r="AA264" s="1106">
        <f t="shared" si="90"/>
        <v>0</v>
      </c>
      <c r="AB264" s="1113" t="e">
        <f t="shared" si="107"/>
        <v>#DIV/0!</v>
      </c>
      <c r="AC264" s="729"/>
    </row>
    <row r="265" spans="1:29" s="1104" customFormat="1" ht="22.5" hidden="1" customHeight="1" thickTop="1" thickBot="1" x14ac:dyDescent="0.3">
      <c r="A265" s="1098">
        <v>1</v>
      </c>
      <c r="B265" s="1098">
        <v>1</v>
      </c>
      <c r="C265" s="1099" t="s">
        <v>227</v>
      </c>
      <c r="D265" s="1099" t="s">
        <v>220</v>
      </c>
      <c r="E265" s="1099" t="s">
        <v>231</v>
      </c>
      <c r="F265" s="1099" t="s">
        <v>332</v>
      </c>
      <c r="G265" s="1099"/>
      <c r="H265" s="1099"/>
      <c r="I265" s="1099"/>
      <c r="J265" s="1099"/>
      <c r="K265" s="1100" t="s">
        <v>475</v>
      </c>
      <c r="L265" s="1101">
        <f>+L266+L270+L274</f>
        <v>0</v>
      </c>
      <c r="M265" s="1101">
        <f t="shared" ref="M265:Z265" si="109">+M266+M270+M274</f>
        <v>0</v>
      </c>
      <c r="N265" s="1101">
        <f t="shared" si="109"/>
        <v>0</v>
      </c>
      <c r="O265" s="1101">
        <f t="shared" si="109"/>
        <v>0</v>
      </c>
      <c r="P265" s="1101">
        <f t="shared" si="109"/>
        <v>0</v>
      </c>
      <c r="Q265" s="1101"/>
      <c r="R265" s="1101">
        <f t="shared" si="109"/>
        <v>0</v>
      </c>
      <c r="S265" s="1101"/>
      <c r="T265" s="1101">
        <f t="shared" si="109"/>
        <v>0</v>
      </c>
      <c r="U265" s="1101"/>
      <c r="V265" s="1101">
        <f t="shared" si="109"/>
        <v>0</v>
      </c>
      <c r="W265" s="1101"/>
      <c r="X265" s="1101">
        <f t="shared" si="109"/>
        <v>0</v>
      </c>
      <c r="Y265" s="1101">
        <f t="shared" si="109"/>
        <v>0</v>
      </c>
      <c r="Z265" s="1101">
        <f t="shared" si="109"/>
        <v>0</v>
      </c>
      <c r="AA265" s="1106">
        <f t="shared" si="90"/>
        <v>0</v>
      </c>
      <c r="AB265" s="1102" t="e">
        <f t="shared" si="107"/>
        <v>#DIV/0!</v>
      </c>
      <c r="AC265" s="1103"/>
    </row>
    <row r="266" spans="1:29" s="1128" customFormat="1" ht="22.5" hidden="1" customHeight="1" thickTop="1" thickBot="1" x14ac:dyDescent="0.3">
      <c r="A266" s="1121">
        <v>1</v>
      </c>
      <c r="B266" s="1121">
        <v>1</v>
      </c>
      <c r="C266" s="1122" t="s">
        <v>227</v>
      </c>
      <c r="D266" s="1122" t="s">
        <v>220</v>
      </c>
      <c r="E266" s="1122" t="s">
        <v>231</v>
      </c>
      <c r="F266" s="1122" t="s">
        <v>332</v>
      </c>
      <c r="G266" s="1122" t="s">
        <v>220</v>
      </c>
      <c r="H266" s="1122"/>
      <c r="I266" s="1122"/>
      <c r="J266" s="1122"/>
      <c r="K266" s="1124" t="s">
        <v>476</v>
      </c>
      <c r="L266" s="1125">
        <f>SUM(L267:L269)</f>
        <v>0</v>
      </c>
      <c r="M266" s="1125">
        <f t="shared" ref="M266:Z266" si="110">SUM(M267:M269)</f>
        <v>0</v>
      </c>
      <c r="N266" s="1125">
        <f t="shared" si="110"/>
        <v>0</v>
      </c>
      <c r="O266" s="1125">
        <f t="shared" si="110"/>
        <v>0</v>
      </c>
      <c r="P266" s="1125">
        <f t="shared" si="110"/>
        <v>0</v>
      </c>
      <c r="Q266" s="1125"/>
      <c r="R266" s="1125">
        <f t="shared" si="110"/>
        <v>0</v>
      </c>
      <c r="S266" s="1125"/>
      <c r="T266" s="1125">
        <f t="shared" si="110"/>
        <v>0</v>
      </c>
      <c r="U266" s="1125"/>
      <c r="V266" s="1125">
        <f t="shared" si="110"/>
        <v>0</v>
      </c>
      <c r="W266" s="1125"/>
      <c r="X266" s="1125">
        <f t="shared" si="110"/>
        <v>0</v>
      </c>
      <c r="Y266" s="1125">
        <f t="shared" si="110"/>
        <v>0</v>
      </c>
      <c r="Z266" s="1125">
        <f t="shared" si="110"/>
        <v>0</v>
      </c>
      <c r="AA266" s="1106">
        <f t="shared" si="90"/>
        <v>0</v>
      </c>
      <c r="AB266" s="1126" t="e">
        <f t="shared" si="107"/>
        <v>#DIV/0!</v>
      </c>
      <c r="AC266" s="1127"/>
    </row>
    <row r="267" spans="1:29" ht="22.5" hidden="1" customHeight="1" thickTop="1" thickBot="1" x14ac:dyDescent="0.3">
      <c r="A267" s="425">
        <v>1</v>
      </c>
      <c r="B267" s="425">
        <v>1</v>
      </c>
      <c r="C267" s="505" t="s">
        <v>227</v>
      </c>
      <c r="D267" s="505" t="s">
        <v>220</v>
      </c>
      <c r="E267" s="505" t="s">
        <v>231</v>
      </c>
      <c r="F267" s="505" t="s">
        <v>332</v>
      </c>
      <c r="G267" s="505" t="s">
        <v>220</v>
      </c>
      <c r="H267" s="505" t="s">
        <v>216</v>
      </c>
      <c r="I267" s="505"/>
      <c r="J267" s="505"/>
      <c r="K267" s="609" t="s">
        <v>477</v>
      </c>
      <c r="L267" s="1110"/>
      <c r="M267" s="1110"/>
      <c r="N267" s="1110"/>
      <c r="O267" s="1110">
        <f>+L267+M267-N267</f>
        <v>0</v>
      </c>
      <c r="P267" s="1110"/>
      <c r="Q267" s="1110"/>
      <c r="R267" s="1110"/>
      <c r="S267" s="1110"/>
      <c r="T267" s="1110"/>
      <c r="U267" s="1110"/>
      <c r="V267" s="1110"/>
      <c r="W267" s="1110"/>
      <c r="X267" s="1110"/>
      <c r="Y267" s="1110"/>
      <c r="Z267" s="1110"/>
      <c r="AA267" s="1106">
        <f t="shared" si="90"/>
        <v>0</v>
      </c>
      <c r="AB267" s="1113" t="e">
        <f t="shared" si="107"/>
        <v>#DIV/0!</v>
      </c>
      <c r="AC267" s="729"/>
    </row>
    <row r="268" spans="1:29" ht="22.5" hidden="1" customHeight="1" thickTop="1" thickBot="1" x14ac:dyDescent="0.3">
      <c r="A268" s="425">
        <v>1</v>
      </c>
      <c r="B268" s="425">
        <v>1</v>
      </c>
      <c r="C268" s="505" t="s">
        <v>227</v>
      </c>
      <c r="D268" s="505" t="s">
        <v>220</v>
      </c>
      <c r="E268" s="505" t="s">
        <v>231</v>
      </c>
      <c r="F268" s="505" t="s">
        <v>332</v>
      </c>
      <c r="G268" s="505" t="s">
        <v>220</v>
      </c>
      <c r="H268" s="505" t="s">
        <v>227</v>
      </c>
      <c r="I268" s="505"/>
      <c r="J268" s="505"/>
      <c r="K268" s="609" t="s">
        <v>478</v>
      </c>
      <c r="L268" s="1110"/>
      <c r="M268" s="1110"/>
      <c r="N268" s="1110"/>
      <c r="O268" s="1110">
        <f>+L268+M268-N268</f>
        <v>0</v>
      </c>
      <c r="P268" s="1110"/>
      <c r="Q268" s="1110"/>
      <c r="R268" s="1110"/>
      <c r="S268" s="1110"/>
      <c r="T268" s="1110"/>
      <c r="U268" s="1110"/>
      <c r="V268" s="1110"/>
      <c r="W268" s="1110"/>
      <c r="X268" s="1110"/>
      <c r="Y268" s="1110"/>
      <c r="Z268" s="1110"/>
      <c r="AA268" s="1106">
        <f t="shared" si="90"/>
        <v>0</v>
      </c>
      <c r="AB268" s="1113" t="e">
        <f t="shared" si="107"/>
        <v>#DIV/0!</v>
      </c>
      <c r="AC268" s="729"/>
    </row>
    <row r="269" spans="1:29" ht="38.25" hidden="1" customHeight="1" thickTop="1" thickBot="1" x14ac:dyDescent="0.3">
      <c r="A269" s="425">
        <v>1</v>
      </c>
      <c r="B269" s="425">
        <v>1</v>
      </c>
      <c r="C269" s="505" t="s">
        <v>227</v>
      </c>
      <c r="D269" s="505" t="s">
        <v>220</v>
      </c>
      <c r="E269" s="505" t="s">
        <v>231</v>
      </c>
      <c r="F269" s="505" t="s">
        <v>332</v>
      </c>
      <c r="G269" s="505" t="s">
        <v>220</v>
      </c>
      <c r="H269" s="505" t="s">
        <v>229</v>
      </c>
      <c r="I269" s="505"/>
      <c r="J269" s="505"/>
      <c r="K269" s="609" t="s">
        <v>479</v>
      </c>
      <c r="L269" s="1110"/>
      <c r="M269" s="1110"/>
      <c r="N269" s="1110"/>
      <c r="O269" s="1110">
        <f>+L269+M269-N269</f>
        <v>0</v>
      </c>
      <c r="P269" s="1110"/>
      <c r="Q269" s="1110"/>
      <c r="R269" s="1110"/>
      <c r="S269" s="1110"/>
      <c r="T269" s="1110"/>
      <c r="U269" s="1110"/>
      <c r="V269" s="1110"/>
      <c r="W269" s="1110"/>
      <c r="X269" s="1110"/>
      <c r="Y269" s="1110"/>
      <c r="Z269" s="1110"/>
      <c r="AA269" s="1106">
        <f t="shared" si="90"/>
        <v>0</v>
      </c>
      <c r="AB269" s="1113" t="e">
        <f t="shared" si="107"/>
        <v>#DIV/0!</v>
      </c>
      <c r="AC269" s="729"/>
    </row>
    <row r="270" spans="1:29" s="1128" customFormat="1" ht="32.25" hidden="1" customHeight="1" thickTop="1" thickBot="1" x14ac:dyDescent="0.3">
      <c r="A270" s="1121">
        <v>1</v>
      </c>
      <c r="B270" s="1121">
        <v>1</v>
      </c>
      <c r="C270" s="1122" t="s">
        <v>227</v>
      </c>
      <c r="D270" s="1122" t="s">
        <v>220</v>
      </c>
      <c r="E270" s="1122" t="s">
        <v>231</v>
      </c>
      <c r="F270" s="1122" t="s">
        <v>332</v>
      </c>
      <c r="G270" s="1122" t="s">
        <v>231</v>
      </c>
      <c r="H270" s="1122"/>
      <c r="I270" s="1122"/>
      <c r="J270" s="1122"/>
      <c r="K270" s="1124" t="s">
        <v>480</v>
      </c>
      <c r="L270" s="1125">
        <f>SUM(L271:L273)</f>
        <v>0</v>
      </c>
      <c r="M270" s="1125">
        <f t="shared" ref="M270:Z270" si="111">SUM(M271:M273)</f>
        <v>0</v>
      </c>
      <c r="N270" s="1125">
        <f t="shared" si="111"/>
        <v>0</v>
      </c>
      <c r="O270" s="1125">
        <f t="shared" si="111"/>
        <v>0</v>
      </c>
      <c r="P270" s="1125">
        <f t="shared" si="111"/>
        <v>0</v>
      </c>
      <c r="Q270" s="1125"/>
      <c r="R270" s="1125">
        <f t="shared" si="111"/>
        <v>0</v>
      </c>
      <c r="S270" s="1125"/>
      <c r="T270" s="1125">
        <f t="shared" si="111"/>
        <v>0</v>
      </c>
      <c r="U270" s="1125"/>
      <c r="V270" s="1125">
        <f t="shared" si="111"/>
        <v>0</v>
      </c>
      <c r="W270" s="1125"/>
      <c r="X270" s="1125">
        <f t="shared" si="111"/>
        <v>0</v>
      </c>
      <c r="Y270" s="1125">
        <f t="shared" si="111"/>
        <v>0</v>
      </c>
      <c r="Z270" s="1125">
        <f t="shared" si="111"/>
        <v>0</v>
      </c>
      <c r="AA270" s="1106">
        <f t="shared" si="90"/>
        <v>0</v>
      </c>
      <c r="AB270" s="1126" t="e">
        <f t="shared" si="107"/>
        <v>#DIV/0!</v>
      </c>
      <c r="AC270" s="1127"/>
    </row>
    <row r="271" spans="1:29" ht="27.75" hidden="1" customHeight="1" thickTop="1" thickBot="1" x14ac:dyDescent="0.3">
      <c r="A271" s="425">
        <v>1</v>
      </c>
      <c r="B271" s="425">
        <v>1</v>
      </c>
      <c r="C271" s="505" t="s">
        <v>227</v>
      </c>
      <c r="D271" s="505" t="s">
        <v>220</v>
      </c>
      <c r="E271" s="505" t="s">
        <v>231</v>
      </c>
      <c r="F271" s="505" t="s">
        <v>332</v>
      </c>
      <c r="G271" s="505" t="s">
        <v>231</v>
      </c>
      <c r="H271" s="505" t="s">
        <v>216</v>
      </c>
      <c r="I271" s="505"/>
      <c r="J271" s="505"/>
      <c r="K271" s="609" t="s">
        <v>481</v>
      </c>
      <c r="L271" s="1110"/>
      <c r="M271" s="1110"/>
      <c r="N271" s="1110"/>
      <c r="O271" s="1110">
        <f>+L271+M271-N271</f>
        <v>0</v>
      </c>
      <c r="P271" s="1110"/>
      <c r="Q271" s="1110"/>
      <c r="R271" s="1110"/>
      <c r="S271" s="1110"/>
      <c r="T271" s="1110"/>
      <c r="U271" s="1110"/>
      <c r="V271" s="1110"/>
      <c r="W271" s="1110"/>
      <c r="X271" s="1110"/>
      <c r="Y271" s="1110"/>
      <c r="Z271" s="1110"/>
      <c r="AA271" s="1106">
        <f t="shared" si="90"/>
        <v>0</v>
      </c>
      <c r="AB271" s="1113" t="e">
        <f t="shared" si="107"/>
        <v>#DIV/0!</v>
      </c>
      <c r="AC271" s="729"/>
    </row>
    <row r="272" spans="1:29" ht="27" hidden="1" customHeight="1" thickTop="1" thickBot="1" x14ac:dyDescent="0.3">
      <c r="A272" s="425">
        <v>1</v>
      </c>
      <c r="B272" s="425">
        <v>1</v>
      </c>
      <c r="C272" s="505" t="s">
        <v>227</v>
      </c>
      <c r="D272" s="505" t="s">
        <v>220</v>
      </c>
      <c r="E272" s="505" t="s">
        <v>231</v>
      </c>
      <c r="F272" s="505" t="s">
        <v>332</v>
      </c>
      <c r="G272" s="505" t="s">
        <v>231</v>
      </c>
      <c r="H272" s="505" t="s">
        <v>227</v>
      </c>
      <c r="I272" s="505"/>
      <c r="J272" s="505"/>
      <c r="K272" s="609" t="s">
        <v>482</v>
      </c>
      <c r="L272" s="1110"/>
      <c r="M272" s="1110"/>
      <c r="N272" s="1110"/>
      <c r="O272" s="1110">
        <f>+L272+M272-N272</f>
        <v>0</v>
      </c>
      <c r="P272" s="1110"/>
      <c r="Q272" s="1110"/>
      <c r="R272" s="1110"/>
      <c r="S272" s="1110"/>
      <c r="T272" s="1110"/>
      <c r="U272" s="1110"/>
      <c r="V272" s="1110"/>
      <c r="W272" s="1110"/>
      <c r="X272" s="1110"/>
      <c r="Y272" s="1110"/>
      <c r="Z272" s="1110"/>
      <c r="AA272" s="1106">
        <f t="shared" si="90"/>
        <v>0</v>
      </c>
      <c r="AB272" s="1113" t="e">
        <f t="shared" si="107"/>
        <v>#DIV/0!</v>
      </c>
      <c r="AC272" s="729"/>
    </row>
    <row r="273" spans="1:29" ht="22.5" hidden="1" customHeight="1" thickTop="1" thickBot="1" x14ac:dyDescent="0.3">
      <c r="A273" s="425">
        <v>1</v>
      </c>
      <c r="B273" s="425">
        <v>1</v>
      </c>
      <c r="C273" s="505" t="s">
        <v>227</v>
      </c>
      <c r="D273" s="505" t="s">
        <v>220</v>
      </c>
      <c r="E273" s="505" t="s">
        <v>231</v>
      </c>
      <c r="F273" s="505" t="s">
        <v>332</v>
      </c>
      <c r="G273" s="505" t="s">
        <v>231</v>
      </c>
      <c r="H273" s="505" t="s">
        <v>229</v>
      </c>
      <c r="I273" s="505"/>
      <c r="J273" s="505"/>
      <c r="K273" s="609" t="s">
        <v>483</v>
      </c>
      <c r="L273" s="1110"/>
      <c r="M273" s="1110"/>
      <c r="N273" s="1110"/>
      <c r="O273" s="1110">
        <f>+L273+M273-N273</f>
        <v>0</v>
      </c>
      <c r="P273" s="1110"/>
      <c r="Q273" s="1110"/>
      <c r="R273" s="1110"/>
      <c r="S273" s="1110"/>
      <c r="T273" s="1110"/>
      <c r="U273" s="1110"/>
      <c r="V273" s="1110"/>
      <c r="W273" s="1110"/>
      <c r="X273" s="1110"/>
      <c r="Y273" s="1110"/>
      <c r="Z273" s="1110"/>
      <c r="AA273" s="1106">
        <f t="shared" si="90"/>
        <v>0</v>
      </c>
      <c r="AB273" s="1113" t="e">
        <f t="shared" si="107"/>
        <v>#DIV/0!</v>
      </c>
      <c r="AC273" s="729"/>
    </row>
    <row r="274" spans="1:29" s="1128" customFormat="1" ht="22.5" hidden="1" customHeight="1" thickTop="1" thickBot="1" x14ac:dyDescent="0.3">
      <c r="A274" s="1121">
        <v>1</v>
      </c>
      <c r="B274" s="1121">
        <v>1</v>
      </c>
      <c r="C274" s="1122" t="s">
        <v>227</v>
      </c>
      <c r="D274" s="1122" t="s">
        <v>220</v>
      </c>
      <c r="E274" s="1122" t="s">
        <v>231</v>
      </c>
      <c r="F274" s="1122" t="s">
        <v>332</v>
      </c>
      <c r="G274" s="1122" t="s">
        <v>305</v>
      </c>
      <c r="H274" s="1122"/>
      <c r="I274" s="1122"/>
      <c r="J274" s="1122"/>
      <c r="K274" s="1124" t="s">
        <v>484</v>
      </c>
      <c r="L274" s="1125">
        <f>SUM(L275:L277)</f>
        <v>0</v>
      </c>
      <c r="M274" s="1125">
        <f t="shared" ref="M274:Z274" si="112">SUM(M275:M277)</f>
        <v>0</v>
      </c>
      <c r="N274" s="1125">
        <f t="shared" si="112"/>
        <v>0</v>
      </c>
      <c r="O274" s="1125">
        <f t="shared" si="112"/>
        <v>0</v>
      </c>
      <c r="P274" s="1125">
        <f t="shared" si="112"/>
        <v>0</v>
      </c>
      <c r="Q274" s="1125"/>
      <c r="R274" s="1125">
        <f t="shared" si="112"/>
        <v>0</v>
      </c>
      <c r="S274" s="1125"/>
      <c r="T274" s="1125">
        <f t="shared" si="112"/>
        <v>0</v>
      </c>
      <c r="U274" s="1125"/>
      <c r="V274" s="1125">
        <f t="shared" si="112"/>
        <v>0</v>
      </c>
      <c r="W274" s="1125"/>
      <c r="X274" s="1125">
        <f t="shared" si="112"/>
        <v>0</v>
      </c>
      <c r="Y274" s="1125">
        <f t="shared" si="112"/>
        <v>0</v>
      </c>
      <c r="Z274" s="1125">
        <f t="shared" si="112"/>
        <v>0</v>
      </c>
      <c r="AA274" s="1106">
        <f t="shared" si="90"/>
        <v>0</v>
      </c>
      <c r="AB274" s="1126" t="e">
        <f t="shared" si="107"/>
        <v>#DIV/0!</v>
      </c>
      <c r="AC274" s="1127"/>
    </row>
    <row r="275" spans="1:29" ht="22.5" hidden="1" customHeight="1" thickTop="1" thickBot="1" x14ac:dyDescent="0.3">
      <c r="A275" s="425">
        <v>1</v>
      </c>
      <c r="B275" s="425">
        <v>1</v>
      </c>
      <c r="C275" s="505" t="s">
        <v>227</v>
      </c>
      <c r="D275" s="505" t="s">
        <v>220</v>
      </c>
      <c r="E275" s="505" t="s">
        <v>231</v>
      </c>
      <c r="F275" s="505" t="s">
        <v>332</v>
      </c>
      <c r="G275" s="505" t="s">
        <v>305</v>
      </c>
      <c r="H275" s="505" t="s">
        <v>216</v>
      </c>
      <c r="I275" s="505"/>
      <c r="J275" s="505"/>
      <c r="K275" s="609" t="s">
        <v>485</v>
      </c>
      <c r="L275" s="1110"/>
      <c r="M275" s="1110"/>
      <c r="N275" s="1110"/>
      <c r="O275" s="1110">
        <f>+L275+M275-N275</f>
        <v>0</v>
      </c>
      <c r="P275" s="1110"/>
      <c r="Q275" s="1110"/>
      <c r="R275" s="1110"/>
      <c r="S275" s="1110"/>
      <c r="T275" s="1110"/>
      <c r="U275" s="1110"/>
      <c r="V275" s="1110"/>
      <c r="W275" s="1110"/>
      <c r="X275" s="1110"/>
      <c r="Y275" s="1110"/>
      <c r="Z275" s="1110"/>
      <c r="AA275" s="1106">
        <f t="shared" si="90"/>
        <v>0</v>
      </c>
      <c r="AB275" s="1113" t="e">
        <f t="shared" si="107"/>
        <v>#DIV/0!</v>
      </c>
      <c r="AC275" s="729"/>
    </row>
    <row r="276" spans="1:29" ht="22.5" hidden="1" customHeight="1" thickTop="1" thickBot="1" x14ac:dyDescent="0.3">
      <c r="A276" s="425">
        <v>1</v>
      </c>
      <c r="B276" s="425">
        <v>1</v>
      </c>
      <c r="C276" s="505" t="s">
        <v>227</v>
      </c>
      <c r="D276" s="505" t="s">
        <v>220</v>
      </c>
      <c r="E276" s="505" t="s">
        <v>231</v>
      </c>
      <c r="F276" s="505" t="s">
        <v>332</v>
      </c>
      <c r="G276" s="505" t="s">
        <v>305</v>
      </c>
      <c r="H276" s="505" t="s">
        <v>227</v>
      </c>
      <c r="I276" s="505"/>
      <c r="J276" s="505"/>
      <c r="K276" s="609" t="s">
        <v>486</v>
      </c>
      <c r="L276" s="1110"/>
      <c r="M276" s="1110"/>
      <c r="N276" s="1110"/>
      <c r="O276" s="1110">
        <f>+L276+M276-N276</f>
        <v>0</v>
      </c>
      <c r="P276" s="1110"/>
      <c r="Q276" s="1110"/>
      <c r="R276" s="1110"/>
      <c r="S276" s="1110"/>
      <c r="T276" s="1110"/>
      <c r="U276" s="1110"/>
      <c r="V276" s="1110"/>
      <c r="W276" s="1110"/>
      <c r="X276" s="1110"/>
      <c r="Y276" s="1110"/>
      <c r="Z276" s="1110"/>
      <c r="AA276" s="1106">
        <f t="shared" si="90"/>
        <v>0</v>
      </c>
      <c r="AB276" s="1113" t="e">
        <f t="shared" si="107"/>
        <v>#DIV/0!</v>
      </c>
      <c r="AC276" s="729"/>
    </row>
    <row r="277" spans="1:29" ht="22.5" hidden="1" customHeight="1" thickTop="1" thickBot="1" x14ac:dyDescent="0.3">
      <c r="A277" s="425">
        <v>1</v>
      </c>
      <c r="B277" s="425">
        <v>1</v>
      </c>
      <c r="C277" s="505" t="s">
        <v>227</v>
      </c>
      <c r="D277" s="505" t="s">
        <v>220</v>
      </c>
      <c r="E277" s="505" t="s">
        <v>231</v>
      </c>
      <c r="F277" s="505" t="s">
        <v>332</v>
      </c>
      <c r="G277" s="505" t="s">
        <v>305</v>
      </c>
      <c r="H277" s="505" t="s">
        <v>229</v>
      </c>
      <c r="I277" s="505"/>
      <c r="J277" s="505"/>
      <c r="K277" s="609" t="s">
        <v>487</v>
      </c>
      <c r="L277" s="1110"/>
      <c r="M277" s="1110"/>
      <c r="N277" s="1110"/>
      <c r="O277" s="1110">
        <f>+L277+M277-N277</f>
        <v>0</v>
      </c>
      <c r="P277" s="1110"/>
      <c r="Q277" s="1110"/>
      <c r="R277" s="1110"/>
      <c r="S277" s="1110"/>
      <c r="T277" s="1110"/>
      <c r="U277" s="1110"/>
      <c r="V277" s="1110"/>
      <c r="W277" s="1110"/>
      <c r="X277" s="1110"/>
      <c r="Y277" s="1110"/>
      <c r="Z277" s="1110"/>
      <c r="AA277" s="1106">
        <f t="shared" si="90"/>
        <v>0</v>
      </c>
      <c r="AB277" s="1113" t="e">
        <f t="shared" si="107"/>
        <v>#DIV/0!</v>
      </c>
      <c r="AC277" s="729"/>
    </row>
    <row r="278" spans="1:29" s="1104" customFormat="1" ht="22.5" hidden="1" customHeight="1" thickTop="1" thickBot="1" x14ac:dyDescent="0.3">
      <c r="A278" s="1098">
        <v>1</v>
      </c>
      <c r="B278" s="1098">
        <v>1</v>
      </c>
      <c r="C278" s="1099" t="s">
        <v>227</v>
      </c>
      <c r="D278" s="1099" t="s">
        <v>220</v>
      </c>
      <c r="E278" s="1099" t="s">
        <v>231</v>
      </c>
      <c r="F278" s="1099" t="s">
        <v>391</v>
      </c>
      <c r="G278" s="1099"/>
      <c r="H278" s="1099"/>
      <c r="I278" s="1099"/>
      <c r="J278" s="1099"/>
      <c r="K278" s="1100" t="s">
        <v>488</v>
      </c>
      <c r="L278" s="1101">
        <f>+L279+L283</f>
        <v>0</v>
      </c>
      <c r="M278" s="1101">
        <f t="shared" ref="M278:Z278" si="113">+M279+M283</f>
        <v>0</v>
      </c>
      <c r="N278" s="1101">
        <f t="shared" si="113"/>
        <v>0</v>
      </c>
      <c r="O278" s="1101">
        <f t="shared" si="113"/>
        <v>0</v>
      </c>
      <c r="P278" s="1101">
        <f t="shared" si="113"/>
        <v>0</v>
      </c>
      <c r="Q278" s="1101"/>
      <c r="R278" s="1101">
        <f t="shared" si="113"/>
        <v>0</v>
      </c>
      <c r="S278" s="1101"/>
      <c r="T278" s="1101">
        <f t="shared" si="113"/>
        <v>0</v>
      </c>
      <c r="U278" s="1101"/>
      <c r="V278" s="1101">
        <f t="shared" si="113"/>
        <v>0</v>
      </c>
      <c r="W278" s="1101"/>
      <c r="X278" s="1101">
        <f t="shared" si="113"/>
        <v>0</v>
      </c>
      <c r="Y278" s="1101">
        <f t="shared" si="113"/>
        <v>0</v>
      </c>
      <c r="Z278" s="1101">
        <f t="shared" si="113"/>
        <v>0</v>
      </c>
      <c r="AA278" s="1106">
        <f t="shared" si="90"/>
        <v>0</v>
      </c>
      <c r="AB278" s="1102" t="e">
        <f t="shared" si="107"/>
        <v>#DIV/0!</v>
      </c>
      <c r="AC278" s="1103"/>
    </row>
    <row r="279" spans="1:29" s="1128" customFormat="1" ht="22.5" hidden="1" customHeight="1" thickTop="1" thickBot="1" x14ac:dyDescent="0.3">
      <c r="A279" s="1121">
        <v>1</v>
      </c>
      <c r="B279" s="1121">
        <v>1</v>
      </c>
      <c r="C279" s="1122" t="s">
        <v>227</v>
      </c>
      <c r="D279" s="1122" t="s">
        <v>220</v>
      </c>
      <c r="E279" s="1122" t="s">
        <v>231</v>
      </c>
      <c r="F279" s="1122" t="s">
        <v>391</v>
      </c>
      <c r="G279" s="1122" t="s">
        <v>220</v>
      </c>
      <c r="H279" s="1122"/>
      <c r="I279" s="1122"/>
      <c r="J279" s="1122"/>
      <c r="K279" s="1124" t="s">
        <v>489</v>
      </c>
      <c r="L279" s="1125">
        <f>SUM(L280:L282)</f>
        <v>0</v>
      </c>
      <c r="M279" s="1125">
        <f t="shared" ref="M279:Z279" si="114">SUM(M280:M282)</f>
        <v>0</v>
      </c>
      <c r="N279" s="1125">
        <f t="shared" si="114"/>
        <v>0</v>
      </c>
      <c r="O279" s="1125">
        <f t="shared" si="114"/>
        <v>0</v>
      </c>
      <c r="P279" s="1125">
        <f t="shared" si="114"/>
        <v>0</v>
      </c>
      <c r="Q279" s="1125"/>
      <c r="R279" s="1125">
        <f t="shared" si="114"/>
        <v>0</v>
      </c>
      <c r="S279" s="1125"/>
      <c r="T279" s="1125">
        <f t="shared" si="114"/>
        <v>0</v>
      </c>
      <c r="U279" s="1125"/>
      <c r="V279" s="1125">
        <f t="shared" si="114"/>
        <v>0</v>
      </c>
      <c r="W279" s="1125"/>
      <c r="X279" s="1125">
        <f t="shared" si="114"/>
        <v>0</v>
      </c>
      <c r="Y279" s="1125">
        <f t="shared" si="114"/>
        <v>0</v>
      </c>
      <c r="Z279" s="1125">
        <f t="shared" si="114"/>
        <v>0</v>
      </c>
      <c r="AA279" s="1106">
        <f t="shared" si="90"/>
        <v>0</v>
      </c>
      <c r="AB279" s="1126" t="e">
        <f t="shared" si="107"/>
        <v>#DIV/0!</v>
      </c>
      <c r="AC279" s="1127"/>
    </row>
    <row r="280" spans="1:29" ht="22.5" hidden="1" customHeight="1" thickTop="1" thickBot="1" x14ac:dyDescent="0.3">
      <c r="A280" s="425">
        <v>1</v>
      </c>
      <c r="B280" s="425">
        <v>1</v>
      </c>
      <c r="C280" s="505" t="s">
        <v>227</v>
      </c>
      <c r="D280" s="505" t="s">
        <v>220</v>
      </c>
      <c r="E280" s="505" t="s">
        <v>231</v>
      </c>
      <c r="F280" s="505" t="s">
        <v>391</v>
      </c>
      <c r="G280" s="505" t="s">
        <v>220</v>
      </c>
      <c r="H280" s="505" t="s">
        <v>216</v>
      </c>
      <c r="I280" s="505"/>
      <c r="J280" s="505"/>
      <c r="K280" s="609" t="s">
        <v>490</v>
      </c>
      <c r="L280" s="1110"/>
      <c r="M280" s="1110"/>
      <c r="N280" s="1110"/>
      <c r="O280" s="1110">
        <f>+L280+M280-N280</f>
        <v>0</v>
      </c>
      <c r="P280" s="1110"/>
      <c r="Q280" s="1110"/>
      <c r="R280" s="1110"/>
      <c r="S280" s="1110"/>
      <c r="T280" s="1110"/>
      <c r="U280" s="1110"/>
      <c r="V280" s="1110"/>
      <c r="W280" s="1110"/>
      <c r="X280" s="1110"/>
      <c r="Y280" s="1110"/>
      <c r="Z280" s="1110"/>
      <c r="AA280" s="1106">
        <f t="shared" si="90"/>
        <v>0</v>
      </c>
      <c r="AB280" s="1113" t="e">
        <f t="shared" si="107"/>
        <v>#DIV/0!</v>
      </c>
      <c r="AC280" s="729"/>
    </row>
    <row r="281" spans="1:29" ht="22.5" hidden="1" customHeight="1" thickTop="1" thickBot="1" x14ac:dyDescent="0.3">
      <c r="A281" s="425">
        <v>1</v>
      </c>
      <c r="B281" s="425">
        <v>1</v>
      </c>
      <c r="C281" s="505" t="s">
        <v>227</v>
      </c>
      <c r="D281" s="505" t="s">
        <v>220</v>
      </c>
      <c r="E281" s="505" t="s">
        <v>231</v>
      </c>
      <c r="F281" s="505" t="s">
        <v>391</v>
      </c>
      <c r="G281" s="505" t="s">
        <v>220</v>
      </c>
      <c r="H281" s="505" t="s">
        <v>227</v>
      </c>
      <c r="I281" s="505"/>
      <c r="J281" s="505"/>
      <c r="K281" s="609" t="s">
        <v>491</v>
      </c>
      <c r="L281" s="1110"/>
      <c r="M281" s="1110"/>
      <c r="N281" s="1110"/>
      <c r="O281" s="1110">
        <f>+L281+M281-N281</f>
        <v>0</v>
      </c>
      <c r="P281" s="1110"/>
      <c r="Q281" s="1110"/>
      <c r="R281" s="1110"/>
      <c r="S281" s="1110"/>
      <c r="T281" s="1110"/>
      <c r="U281" s="1110"/>
      <c r="V281" s="1110"/>
      <c r="W281" s="1110"/>
      <c r="X281" s="1110"/>
      <c r="Y281" s="1110"/>
      <c r="Z281" s="1110"/>
      <c r="AA281" s="1106">
        <f t="shared" si="90"/>
        <v>0</v>
      </c>
      <c r="AB281" s="1113" t="e">
        <f t="shared" si="107"/>
        <v>#DIV/0!</v>
      </c>
      <c r="AC281" s="729"/>
    </row>
    <row r="282" spans="1:29" ht="22.5" hidden="1" customHeight="1" thickTop="1" thickBot="1" x14ac:dyDescent="0.3">
      <c r="A282" s="425">
        <v>1</v>
      </c>
      <c r="B282" s="425">
        <v>1</v>
      </c>
      <c r="C282" s="505" t="s">
        <v>227</v>
      </c>
      <c r="D282" s="505" t="s">
        <v>220</v>
      </c>
      <c r="E282" s="505" t="s">
        <v>231</v>
      </c>
      <c r="F282" s="505" t="s">
        <v>391</v>
      </c>
      <c r="G282" s="505" t="s">
        <v>220</v>
      </c>
      <c r="H282" s="505" t="s">
        <v>229</v>
      </c>
      <c r="I282" s="505"/>
      <c r="J282" s="505"/>
      <c r="K282" s="609" t="s">
        <v>492</v>
      </c>
      <c r="L282" s="1110"/>
      <c r="M282" s="1110"/>
      <c r="N282" s="1110"/>
      <c r="O282" s="1110">
        <f>+L282+M282-N282</f>
        <v>0</v>
      </c>
      <c r="P282" s="1110"/>
      <c r="Q282" s="1110"/>
      <c r="R282" s="1110"/>
      <c r="S282" s="1110"/>
      <c r="T282" s="1110"/>
      <c r="U282" s="1110"/>
      <c r="V282" s="1110"/>
      <c r="W282" s="1110"/>
      <c r="X282" s="1110"/>
      <c r="Y282" s="1110"/>
      <c r="Z282" s="1110"/>
      <c r="AA282" s="1106">
        <f t="shared" ref="AA282:AA345" si="115">+Y282+Z282</f>
        <v>0</v>
      </c>
      <c r="AB282" s="1113" t="e">
        <f t="shared" si="107"/>
        <v>#DIV/0!</v>
      </c>
      <c r="AC282" s="729"/>
    </row>
    <row r="283" spans="1:29" s="1128" customFormat="1" ht="22.5" hidden="1" customHeight="1" thickTop="1" thickBot="1" x14ac:dyDescent="0.3">
      <c r="A283" s="1121">
        <v>1</v>
      </c>
      <c r="B283" s="1121">
        <v>1</v>
      </c>
      <c r="C283" s="1122" t="s">
        <v>227</v>
      </c>
      <c r="D283" s="1122" t="s">
        <v>220</v>
      </c>
      <c r="E283" s="1122" t="s">
        <v>231</v>
      </c>
      <c r="F283" s="1122" t="s">
        <v>391</v>
      </c>
      <c r="G283" s="1122" t="s">
        <v>231</v>
      </c>
      <c r="H283" s="1122"/>
      <c r="I283" s="1122"/>
      <c r="J283" s="1122"/>
      <c r="K283" s="1124" t="s">
        <v>493</v>
      </c>
      <c r="L283" s="1125">
        <f>SUM(L284:L286)</f>
        <v>0</v>
      </c>
      <c r="M283" s="1125">
        <f t="shared" ref="M283:Z283" si="116">SUM(M284:M286)</f>
        <v>0</v>
      </c>
      <c r="N283" s="1125">
        <f t="shared" si="116"/>
        <v>0</v>
      </c>
      <c r="O283" s="1125">
        <f t="shared" si="116"/>
        <v>0</v>
      </c>
      <c r="P283" s="1125">
        <f t="shared" si="116"/>
        <v>0</v>
      </c>
      <c r="Q283" s="1125"/>
      <c r="R283" s="1125">
        <f t="shared" si="116"/>
        <v>0</v>
      </c>
      <c r="S283" s="1125"/>
      <c r="T283" s="1125">
        <f t="shared" si="116"/>
        <v>0</v>
      </c>
      <c r="U283" s="1125"/>
      <c r="V283" s="1125">
        <f t="shared" si="116"/>
        <v>0</v>
      </c>
      <c r="W283" s="1125"/>
      <c r="X283" s="1125">
        <f t="shared" si="116"/>
        <v>0</v>
      </c>
      <c r="Y283" s="1125">
        <f t="shared" si="116"/>
        <v>0</v>
      </c>
      <c r="Z283" s="1125">
        <f t="shared" si="116"/>
        <v>0</v>
      </c>
      <c r="AA283" s="1106">
        <f t="shared" si="115"/>
        <v>0</v>
      </c>
      <c r="AB283" s="1126" t="e">
        <f t="shared" si="107"/>
        <v>#DIV/0!</v>
      </c>
      <c r="AC283" s="1127"/>
    </row>
    <row r="284" spans="1:29" ht="22.5" hidden="1" customHeight="1" thickTop="1" thickBot="1" x14ac:dyDescent="0.3">
      <c r="A284" s="425">
        <v>1</v>
      </c>
      <c r="B284" s="425">
        <v>1</v>
      </c>
      <c r="C284" s="505" t="s">
        <v>227</v>
      </c>
      <c r="D284" s="505" t="s">
        <v>220</v>
      </c>
      <c r="E284" s="505" t="s">
        <v>231</v>
      </c>
      <c r="F284" s="505" t="s">
        <v>391</v>
      </c>
      <c r="G284" s="505" t="s">
        <v>231</v>
      </c>
      <c r="H284" s="505" t="s">
        <v>216</v>
      </c>
      <c r="I284" s="505"/>
      <c r="J284" s="505"/>
      <c r="K284" s="609" t="s">
        <v>494</v>
      </c>
      <c r="L284" s="1110"/>
      <c r="M284" s="1110"/>
      <c r="N284" s="1110"/>
      <c r="O284" s="1110">
        <f>+L284+M284-N284</f>
        <v>0</v>
      </c>
      <c r="P284" s="1110"/>
      <c r="Q284" s="1110"/>
      <c r="R284" s="1110"/>
      <c r="S284" s="1110"/>
      <c r="T284" s="1110"/>
      <c r="U284" s="1110"/>
      <c r="V284" s="1110"/>
      <c r="W284" s="1110"/>
      <c r="X284" s="1110"/>
      <c r="Y284" s="1110"/>
      <c r="Z284" s="1110"/>
      <c r="AA284" s="1106">
        <f t="shared" si="115"/>
        <v>0</v>
      </c>
      <c r="AB284" s="1113" t="e">
        <f t="shared" si="107"/>
        <v>#DIV/0!</v>
      </c>
      <c r="AC284" s="729"/>
    </row>
    <row r="285" spans="1:29" ht="22.5" hidden="1" customHeight="1" thickTop="1" thickBot="1" x14ac:dyDescent="0.3">
      <c r="A285" s="425">
        <v>1</v>
      </c>
      <c r="B285" s="425">
        <v>1</v>
      </c>
      <c r="C285" s="505" t="s">
        <v>227</v>
      </c>
      <c r="D285" s="505" t="s">
        <v>220</v>
      </c>
      <c r="E285" s="505" t="s">
        <v>231</v>
      </c>
      <c r="F285" s="505" t="s">
        <v>391</v>
      </c>
      <c r="G285" s="505" t="s">
        <v>231</v>
      </c>
      <c r="H285" s="505" t="s">
        <v>227</v>
      </c>
      <c r="I285" s="505"/>
      <c r="J285" s="505"/>
      <c r="K285" s="609" t="s">
        <v>495</v>
      </c>
      <c r="L285" s="1110"/>
      <c r="M285" s="1110"/>
      <c r="N285" s="1110"/>
      <c r="O285" s="1110">
        <f>+L285+M285-N285</f>
        <v>0</v>
      </c>
      <c r="P285" s="1110"/>
      <c r="Q285" s="1110"/>
      <c r="R285" s="1110"/>
      <c r="S285" s="1110"/>
      <c r="T285" s="1110"/>
      <c r="U285" s="1110"/>
      <c r="V285" s="1110"/>
      <c r="W285" s="1110"/>
      <c r="X285" s="1110"/>
      <c r="Y285" s="1110"/>
      <c r="Z285" s="1110"/>
      <c r="AA285" s="1106">
        <f t="shared" si="115"/>
        <v>0</v>
      </c>
      <c r="AB285" s="1113" t="e">
        <f t="shared" si="107"/>
        <v>#DIV/0!</v>
      </c>
      <c r="AC285" s="729"/>
    </row>
    <row r="286" spans="1:29" ht="24" hidden="1" thickTop="1" thickBot="1" x14ac:dyDescent="0.3">
      <c r="A286" s="425">
        <v>1</v>
      </c>
      <c r="B286" s="425">
        <v>1</v>
      </c>
      <c r="C286" s="505" t="s">
        <v>227</v>
      </c>
      <c r="D286" s="505" t="s">
        <v>220</v>
      </c>
      <c r="E286" s="505" t="s">
        <v>231</v>
      </c>
      <c r="F286" s="505" t="s">
        <v>391</v>
      </c>
      <c r="G286" s="505" t="s">
        <v>231</v>
      </c>
      <c r="H286" s="505" t="s">
        <v>229</v>
      </c>
      <c r="I286" s="505"/>
      <c r="J286" s="505"/>
      <c r="K286" s="609" t="s">
        <v>496</v>
      </c>
      <c r="L286" s="1110"/>
      <c r="M286" s="1110"/>
      <c r="N286" s="1110"/>
      <c r="O286" s="1110">
        <f>+L286+M286-N286</f>
        <v>0</v>
      </c>
      <c r="P286" s="1110"/>
      <c r="Q286" s="1110"/>
      <c r="R286" s="1110"/>
      <c r="S286" s="1110"/>
      <c r="T286" s="1110"/>
      <c r="U286" s="1110"/>
      <c r="V286" s="1110"/>
      <c r="W286" s="1110"/>
      <c r="X286" s="1110"/>
      <c r="Y286" s="1110"/>
      <c r="Z286" s="1110"/>
      <c r="AA286" s="1106">
        <f t="shared" si="115"/>
        <v>0</v>
      </c>
      <c r="AB286" s="1113" t="e">
        <f t="shared" si="107"/>
        <v>#DIV/0!</v>
      </c>
      <c r="AC286" s="729"/>
    </row>
    <row r="287" spans="1:29" s="1090" customFormat="1" ht="16.5" hidden="1" thickTop="1" thickBot="1" x14ac:dyDescent="0.3">
      <c r="A287" s="1086">
        <v>1</v>
      </c>
      <c r="B287" s="421" t="s">
        <v>216</v>
      </c>
      <c r="C287" s="421" t="s">
        <v>227</v>
      </c>
      <c r="D287" s="421" t="s">
        <v>305</v>
      </c>
      <c r="E287" s="421"/>
      <c r="F287" s="421"/>
      <c r="G287" s="421"/>
      <c r="H287" s="421"/>
      <c r="I287" s="421"/>
      <c r="J287" s="421"/>
      <c r="K287" s="1087" t="s">
        <v>497</v>
      </c>
      <c r="L287" s="1088">
        <f>+L288+L292+L296+L300+L304</f>
        <v>0</v>
      </c>
      <c r="M287" s="1088">
        <f t="shared" ref="M287:Z287" si="117">+M288+M292+M296+M300+M304</f>
        <v>0</v>
      </c>
      <c r="N287" s="1088">
        <f t="shared" si="117"/>
        <v>0</v>
      </c>
      <c r="O287" s="1088">
        <f t="shared" si="117"/>
        <v>0</v>
      </c>
      <c r="P287" s="1088">
        <f t="shared" si="117"/>
        <v>0</v>
      </c>
      <c r="Q287" s="1088"/>
      <c r="R287" s="1088">
        <f t="shared" si="117"/>
        <v>0</v>
      </c>
      <c r="S287" s="1088"/>
      <c r="T287" s="1088">
        <f t="shared" si="117"/>
        <v>0</v>
      </c>
      <c r="U287" s="1088"/>
      <c r="V287" s="1088">
        <f t="shared" si="117"/>
        <v>0</v>
      </c>
      <c r="W287" s="1088"/>
      <c r="X287" s="1088">
        <f t="shared" si="117"/>
        <v>0</v>
      </c>
      <c r="Y287" s="1088">
        <f t="shared" si="117"/>
        <v>0</v>
      </c>
      <c r="Z287" s="1088">
        <f t="shared" si="117"/>
        <v>0</v>
      </c>
      <c r="AA287" s="1106">
        <f t="shared" si="115"/>
        <v>0</v>
      </c>
      <c r="AB287" s="1089" t="e">
        <f t="shared" si="107"/>
        <v>#DIV/0!</v>
      </c>
      <c r="AC287" s="511"/>
    </row>
    <row r="288" spans="1:29" s="1097" customFormat="1" ht="22.5" hidden="1" customHeight="1" thickTop="1" thickBot="1" x14ac:dyDescent="0.3">
      <c r="A288" s="1091">
        <v>1</v>
      </c>
      <c r="B288" s="1092" t="s">
        <v>216</v>
      </c>
      <c r="C288" s="1092" t="s">
        <v>227</v>
      </c>
      <c r="D288" s="1092" t="s">
        <v>305</v>
      </c>
      <c r="E288" s="1092" t="s">
        <v>231</v>
      </c>
      <c r="F288" s="1092"/>
      <c r="G288" s="1092"/>
      <c r="H288" s="1092"/>
      <c r="I288" s="1092"/>
      <c r="J288" s="1092"/>
      <c r="K288" s="1093" t="s">
        <v>498</v>
      </c>
      <c r="L288" s="1094">
        <f>+L289</f>
        <v>0</v>
      </c>
      <c r="M288" s="1094">
        <f t="shared" ref="M288:Y288" si="118">SUM(M289:M291)</f>
        <v>0</v>
      </c>
      <c r="N288" s="1094">
        <f t="shared" si="118"/>
        <v>0</v>
      </c>
      <c r="O288" s="1094">
        <f t="shared" si="118"/>
        <v>0</v>
      </c>
      <c r="P288" s="1094">
        <f t="shared" si="118"/>
        <v>0</v>
      </c>
      <c r="Q288" s="1094"/>
      <c r="R288" s="1094">
        <f t="shared" si="118"/>
        <v>0</v>
      </c>
      <c r="S288" s="1094"/>
      <c r="T288" s="1094">
        <f t="shared" si="118"/>
        <v>0</v>
      </c>
      <c r="U288" s="1094"/>
      <c r="V288" s="1094">
        <f t="shared" si="118"/>
        <v>0</v>
      </c>
      <c r="W288" s="1094"/>
      <c r="X288" s="1094">
        <f t="shared" si="118"/>
        <v>0</v>
      </c>
      <c r="Y288" s="1094">
        <f t="shared" si="118"/>
        <v>0</v>
      </c>
      <c r="Z288" s="1094">
        <f t="shared" ref="Z288" si="119">SUM(Z289:Z291)</f>
        <v>0</v>
      </c>
      <c r="AA288" s="1106">
        <f t="shared" si="115"/>
        <v>0</v>
      </c>
      <c r="AB288" s="1095" t="e">
        <f t="shared" si="107"/>
        <v>#DIV/0!</v>
      </c>
      <c r="AC288" s="1096"/>
    </row>
    <row r="289" spans="1:29" s="1104" customFormat="1" ht="36.75" hidden="1" customHeight="1" thickTop="1" thickBot="1" x14ac:dyDescent="0.3">
      <c r="A289" s="1098">
        <v>1</v>
      </c>
      <c r="B289" s="1099" t="s">
        <v>216</v>
      </c>
      <c r="C289" s="1099" t="s">
        <v>227</v>
      </c>
      <c r="D289" s="1099" t="s">
        <v>305</v>
      </c>
      <c r="E289" s="1099" t="s">
        <v>231</v>
      </c>
      <c r="F289" s="1099" t="s">
        <v>216</v>
      </c>
      <c r="G289" s="1099"/>
      <c r="H289" s="1099"/>
      <c r="I289" s="1099"/>
      <c r="J289" s="1099"/>
      <c r="K289" s="1100" t="s">
        <v>499</v>
      </c>
      <c r="L289" s="1101">
        <f>+SUM(L290:L291)</f>
        <v>0</v>
      </c>
      <c r="M289" s="1101"/>
      <c r="N289" s="1101"/>
      <c r="O289" s="1101">
        <f>+L289+M289-N289</f>
        <v>0</v>
      </c>
      <c r="P289" s="1101"/>
      <c r="Q289" s="1101"/>
      <c r="R289" s="1101"/>
      <c r="S289" s="1101"/>
      <c r="T289" s="1101"/>
      <c r="U289" s="1101"/>
      <c r="V289" s="1101"/>
      <c r="W289" s="1101"/>
      <c r="X289" s="1101"/>
      <c r="Y289" s="1101"/>
      <c r="Z289" s="1101"/>
      <c r="AA289" s="1106">
        <f t="shared" si="115"/>
        <v>0</v>
      </c>
      <c r="AB289" s="1102" t="e">
        <f t="shared" si="107"/>
        <v>#DIV/0!</v>
      </c>
      <c r="AC289" s="1103"/>
    </row>
    <row r="290" spans="1:29" ht="22.5" hidden="1" customHeight="1" thickTop="1" thickBot="1" x14ac:dyDescent="0.3">
      <c r="A290" s="425">
        <v>1</v>
      </c>
      <c r="B290" s="505" t="s">
        <v>216</v>
      </c>
      <c r="C290" s="505" t="s">
        <v>227</v>
      </c>
      <c r="D290" s="505" t="s">
        <v>305</v>
      </c>
      <c r="E290" s="505" t="s">
        <v>231</v>
      </c>
      <c r="F290" s="505" t="s">
        <v>227</v>
      </c>
      <c r="G290" s="505"/>
      <c r="H290" s="505"/>
      <c r="I290" s="505"/>
      <c r="J290" s="505"/>
      <c r="K290" s="609" t="s">
        <v>500</v>
      </c>
      <c r="L290" s="1110"/>
      <c r="M290" s="1110"/>
      <c r="N290" s="1110"/>
      <c r="O290" s="1110">
        <f>+L290+M290-N290</f>
        <v>0</v>
      </c>
      <c r="P290" s="1110"/>
      <c r="Q290" s="1110"/>
      <c r="R290" s="1110"/>
      <c r="S290" s="1110"/>
      <c r="T290" s="1110"/>
      <c r="U290" s="1110"/>
      <c r="V290" s="1110"/>
      <c r="W290" s="1110"/>
      <c r="X290" s="1110"/>
      <c r="Y290" s="1110"/>
      <c r="Z290" s="1110"/>
      <c r="AA290" s="1106">
        <f t="shared" si="115"/>
        <v>0</v>
      </c>
      <c r="AB290" s="1113" t="e">
        <f t="shared" si="107"/>
        <v>#DIV/0!</v>
      </c>
      <c r="AC290" s="729"/>
    </row>
    <row r="291" spans="1:29" ht="22.5" hidden="1" customHeight="1" thickTop="1" thickBot="1" x14ac:dyDescent="0.3">
      <c r="A291" s="425">
        <v>1</v>
      </c>
      <c r="B291" s="505" t="s">
        <v>216</v>
      </c>
      <c r="C291" s="505" t="s">
        <v>227</v>
      </c>
      <c r="D291" s="505" t="s">
        <v>305</v>
      </c>
      <c r="E291" s="505" t="s">
        <v>231</v>
      </c>
      <c r="F291" s="505" t="s">
        <v>229</v>
      </c>
      <c r="G291" s="505"/>
      <c r="H291" s="505"/>
      <c r="I291" s="505"/>
      <c r="J291" s="505"/>
      <c r="K291" s="609" t="s">
        <v>501</v>
      </c>
      <c r="L291" s="1110"/>
      <c r="M291" s="1110"/>
      <c r="N291" s="1110"/>
      <c r="O291" s="1110">
        <f>+L291+M291-N291</f>
        <v>0</v>
      </c>
      <c r="P291" s="1110"/>
      <c r="Q291" s="1110"/>
      <c r="R291" s="1110"/>
      <c r="S291" s="1110"/>
      <c r="T291" s="1110"/>
      <c r="U291" s="1110"/>
      <c r="V291" s="1110"/>
      <c r="W291" s="1110"/>
      <c r="X291" s="1110"/>
      <c r="Y291" s="1110"/>
      <c r="Z291" s="1110"/>
      <c r="AA291" s="1106">
        <f t="shared" si="115"/>
        <v>0</v>
      </c>
      <c r="AB291" s="1113" t="e">
        <f t="shared" si="107"/>
        <v>#DIV/0!</v>
      </c>
      <c r="AC291" s="729"/>
    </row>
    <row r="292" spans="1:29" s="1097" customFormat="1" ht="21" hidden="1" customHeight="1" thickTop="1" thickBot="1" x14ac:dyDescent="0.3">
      <c r="A292" s="1091">
        <v>1</v>
      </c>
      <c r="B292" s="1092" t="s">
        <v>216</v>
      </c>
      <c r="C292" s="1092" t="s">
        <v>227</v>
      </c>
      <c r="D292" s="1092" t="s">
        <v>305</v>
      </c>
      <c r="E292" s="1092" t="s">
        <v>305</v>
      </c>
      <c r="F292" s="1092"/>
      <c r="G292" s="1092"/>
      <c r="H292" s="1092"/>
      <c r="I292" s="1092"/>
      <c r="J292" s="1092"/>
      <c r="K292" s="1093" t="s">
        <v>502</v>
      </c>
      <c r="L292" s="1094">
        <f>SUM(L293:L295)</f>
        <v>0</v>
      </c>
      <c r="M292" s="1094">
        <f t="shared" ref="M292:Z292" si="120">SUM(M293:M295)</f>
        <v>0</v>
      </c>
      <c r="N292" s="1094">
        <f t="shared" si="120"/>
        <v>0</v>
      </c>
      <c r="O292" s="1094">
        <f t="shared" si="120"/>
        <v>0</v>
      </c>
      <c r="P292" s="1094">
        <f t="shared" si="120"/>
        <v>0</v>
      </c>
      <c r="Q292" s="1094"/>
      <c r="R292" s="1094">
        <f t="shared" si="120"/>
        <v>0</v>
      </c>
      <c r="S292" s="1094"/>
      <c r="T292" s="1094">
        <f t="shared" si="120"/>
        <v>0</v>
      </c>
      <c r="U292" s="1094"/>
      <c r="V292" s="1094">
        <f t="shared" si="120"/>
        <v>0</v>
      </c>
      <c r="W292" s="1094"/>
      <c r="X292" s="1094">
        <f t="shared" si="120"/>
        <v>0</v>
      </c>
      <c r="Y292" s="1094">
        <f t="shared" si="120"/>
        <v>0</v>
      </c>
      <c r="Z292" s="1094">
        <f t="shared" si="120"/>
        <v>0</v>
      </c>
      <c r="AA292" s="1106">
        <f t="shared" si="115"/>
        <v>0</v>
      </c>
      <c r="AB292" s="1095" t="e">
        <f t="shared" si="107"/>
        <v>#DIV/0!</v>
      </c>
      <c r="AC292" s="1096"/>
    </row>
    <row r="293" spans="1:29" ht="6.75" hidden="1" customHeight="1" thickTop="1" thickBot="1" x14ac:dyDescent="0.3">
      <c r="A293" s="425">
        <v>1</v>
      </c>
      <c r="B293" s="505" t="s">
        <v>216</v>
      </c>
      <c r="C293" s="505" t="s">
        <v>227</v>
      </c>
      <c r="D293" s="505" t="s">
        <v>305</v>
      </c>
      <c r="E293" s="505" t="s">
        <v>305</v>
      </c>
      <c r="F293" s="505" t="s">
        <v>216</v>
      </c>
      <c r="G293" s="505"/>
      <c r="H293" s="505"/>
      <c r="I293" s="505"/>
      <c r="J293" s="505"/>
      <c r="K293" s="609" t="s">
        <v>503</v>
      </c>
      <c r="L293" s="1110"/>
      <c r="M293" s="1110"/>
      <c r="N293" s="1110"/>
      <c r="O293" s="1110">
        <f>+L293+M293-N293</f>
        <v>0</v>
      </c>
      <c r="P293" s="1110"/>
      <c r="Q293" s="1110"/>
      <c r="R293" s="1110"/>
      <c r="S293" s="1110"/>
      <c r="T293" s="1110"/>
      <c r="U293" s="1110"/>
      <c r="V293" s="1110"/>
      <c r="W293" s="1110"/>
      <c r="X293" s="1110"/>
      <c r="Y293" s="1110"/>
      <c r="Z293" s="1110"/>
      <c r="AA293" s="1106">
        <f t="shared" si="115"/>
        <v>0</v>
      </c>
      <c r="AB293" s="1113" t="e">
        <f t="shared" si="107"/>
        <v>#DIV/0!</v>
      </c>
      <c r="AC293" s="729"/>
    </row>
    <row r="294" spans="1:29" ht="22.5" hidden="1" customHeight="1" thickTop="1" thickBot="1" x14ac:dyDescent="0.3">
      <c r="A294" s="425">
        <v>1</v>
      </c>
      <c r="B294" s="505" t="s">
        <v>216</v>
      </c>
      <c r="C294" s="505" t="s">
        <v>227</v>
      </c>
      <c r="D294" s="505" t="s">
        <v>305</v>
      </c>
      <c r="E294" s="505" t="s">
        <v>305</v>
      </c>
      <c r="F294" s="505" t="s">
        <v>227</v>
      </c>
      <c r="G294" s="505"/>
      <c r="H294" s="505"/>
      <c r="I294" s="505"/>
      <c r="J294" s="505"/>
      <c r="K294" s="609" t="s">
        <v>504</v>
      </c>
      <c r="L294" s="1110"/>
      <c r="M294" s="1110"/>
      <c r="N294" s="1110"/>
      <c r="O294" s="1110">
        <f>+L294+M294-N294</f>
        <v>0</v>
      </c>
      <c r="P294" s="1110"/>
      <c r="Q294" s="1110"/>
      <c r="R294" s="1110"/>
      <c r="S294" s="1110"/>
      <c r="T294" s="1110"/>
      <c r="U294" s="1110"/>
      <c r="V294" s="1110"/>
      <c r="W294" s="1110"/>
      <c r="X294" s="1110"/>
      <c r="Y294" s="1110"/>
      <c r="Z294" s="1110"/>
      <c r="AA294" s="1106">
        <f t="shared" si="115"/>
        <v>0</v>
      </c>
      <c r="AB294" s="1113" t="e">
        <f t="shared" si="107"/>
        <v>#DIV/0!</v>
      </c>
      <c r="AC294" s="729"/>
    </row>
    <row r="295" spans="1:29" ht="22.5" hidden="1" customHeight="1" thickTop="1" thickBot="1" x14ac:dyDescent="0.3">
      <c r="A295" s="425">
        <v>1</v>
      </c>
      <c r="B295" s="505" t="s">
        <v>216</v>
      </c>
      <c r="C295" s="505" t="s">
        <v>227</v>
      </c>
      <c r="D295" s="505" t="s">
        <v>305</v>
      </c>
      <c r="E295" s="505" t="s">
        <v>305</v>
      </c>
      <c r="F295" s="505" t="s">
        <v>229</v>
      </c>
      <c r="G295" s="505"/>
      <c r="H295" s="505"/>
      <c r="I295" s="505"/>
      <c r="J295" s="505"/>
      <c r="K295" s="609" t="s">
        <v>505</v>
      </c>
      <c r="L295" s="1110"/>
      <c r="M295" s="1110"/>
      <c r="N295" s="1110"/>
      <c r="O295" s="1110">
        <f>+L295+M295-N295</f>
        <v>0</v>
      </c>
      <c r="P295" s="1110"/>
      <c r="Q295" s="1110"/>
      <c r="R295" s="1110"/>
      <c r="S295" s="1110"/>
      <c r="T295" s="1110"/>
      <c r="U295" s="1110"/>
      <c r="V295" s="1110"/>
      <c r="W295" s="1110"/>
      <c r="X295" s="1110"/>
      <c r="Y295" s="1110"/>
      <c r="Z295" s="1110"/>
      <c r="AA295" s="1106">
        <f t="shared" si="115"/>
        <v>0</v>
      </c>
      <c r="AB295" s="1113" t="e">
        <f t="shared" si="107"/>
        <v>#DIV/0!</v>
      </c>
      <c r="AC295" s="729"/>
    </row>
    <row r="296" spans="1:29" s="1097" customFormat="1" ht="22.5" hidden="1" customHeight="1" thickTop="1" thickBot="1" x14ac:dyDescent="0.3">
      <c r="A296" s="1091">
        <v>1</v>
      </c>
      <c r="B296" s="1092" t="s">
        <v>216</v>
      </c>
      <c r="C296" s="1092" t="s">
        <v>227</v>
      </c>
      <c r="D296" s="1092" t="s">
        <v>305</v>
      </c>
      <c r="E296" s="1092" t="s">
        <v>313</v>
      </c>
      <c r="F296" s="1092"/>
      <c r="G296" s="1092"/>
      <c r="H296" s="1092"/>
      <c r="I296" s="1092"/>
      <c r="J296" s="1092"/>
      <c r="K296" s="1093" t="s">
        <v>506</v>
      </c>
      <c r="L296" s="1094">
        <f>SUM(L297:L299)</f>
        <v>0</v>
      </c>
      <c r="M296" s="1094">
        <f t="shared" ref="M296:Z296" si="121">SUM(M297:M299)</f>
        <v>0</v>
      </c>
      <c r="N296" s="1094">
        <f t="shared" si="121"/>
        <v>0</v>
      </c>
      <c r="O296" s="1094">
        <f t="shared" si="121"/>
        <v>0</v>
      </c>
      <c r="P296" s="1094">
        <f t="shared" si="121"/>
        <v>0</v>
      </c>
      <c r="Q296" s="1094"/>
      <c r="R296" s="1094">
        <f t="shared" si="121"/>
        <v>0</v>
      </c>
      <c r="S296" s="1094"/>
      <c r="T296" s="1094">
        <f t="shared" si="121"/>
        <v>0</v>
      </c>
      <c r="U296" s="1094"/>
      <c r="V296" s="1094">
        <f t="shared" si="121"/>
        <v>0</v>
      </c>
      <c r="W296" s="1094"/>
      <c r="X296" s="1094">
        <f t="shared" si="121"/>
        <v>0</v>
      </c>
      <c r="Y296" s="1094">
        <f t="shared" si="121"/>
        <v>0</v>
      </c>
      <c r="Z296" s="1094">
        <f t="shared" si="121"/>
        <v>0</v>
      </c>
      <c r="AA296" s="1106">
        <f t="shared" si="115"/>
        <v>0</v>
      </c>
      <c r="AB296" s="1095" t="e">
        <f t="shared" si="107"/>
        <v>#DIV/0!</v>
      </c>
      <c r="AC296" s="1096"/>
    </row>
    <row r="297" spans="1:29" ht="22.5" hidden="1" customHeight="1" thickTop="1" thickBot="1" x14ac:dyDescent="0.3">
      <c r="A297" s="425">
        <v>1</v>
      </c>
      <c r="B297" s="505" t="s">
        <v>216</v>
      </c>
      <c r="C297" s="505" t="s">
        <v>227</v>
      </c>
      <c r="D297" s="505" t="s">
        <v>305</v>
      </c>
      <c r="E297" s="505" t="s">
        <v>313</v>
      </c>
      <c r="F297" s="505" t="s">
        <v>216</v>
      </c>
      <c r="G297" s="505"/>
      <c r="H297" s="505"/>
      <c r="I297" s="505"/>
      <c r="J297" s="505"/>
      <c r="K297" s="609" t="s">
        <v>507</v>
      </c>
      <c r="L297" s="1110"/>
      <c r="M297" s="1110"/>
      <c r="N297" s="1110"/>
      <c r="O297" s="1110">
        <f>+L297+M297-N297</f>
        <v>0</v>
      </c>
      <c r="P297" s="1110"/>
      <c r="Q297" s="1110"/>
      <c r="R297" s="1110"/>
      <c r="S297" s="1110"/>
      <c r="T297" s="1110"/>
      <c r="U297" s="1110"/>
      <c r="V297" s="1110"/>
      <c r="W297" s="1110"/>
      <c r="X297" s="1110"/>
      <c r="Y297" s="1110"/>
      <c r="Z297" s="1110"/>
      <c r="AA297" s="1106">
        <f t="shared" si="115"/>
        <v>0</v>
      </c>
      <c r="AB297" s="1113" t="e">
        <f t="shared" si="107"/>
        <v>#DIV/0!</v>
      </c>
      <c r="AC297" s="729"/>
    </row>
    <row r="298" spans="1:29" ht="22.5" hidden="1" customHeight="1" thickTop="1" thickBot="1" x14ac:dyDescent="0.3">
      <c r="A298" s="425">
        <v>1</v>
      </c>
      <c r="B298" s="505" t="s">
        <v>216</v>
      </c>
      <c r="C298" s="505" t="s">
        <v>227</v>
      </c>
      <c r="D298" s="505" t="s">
        <v>305</v>
      </c>
      <c r="E298" s="505" t="s">
        <v>313</v>
      </c>
      <c r="F298" s="505" t="s">
        <v>227</v>
      </c>
      <c r="G298" s="505"/>
      <c r="H298" s="505"/>
      <c r="I298" s="505"/>
      <c r="J298" s="505"/>
      <c r="K298" s="609" t="s">
        <v>508</v>
      </c>
      <c r="L298" s="1110"/>
      <c r="M298" s="1110"/>
      <c r="N298" s="1110"/>
      <c r="O298" s="1110">
        <f>+L298+M298-N298</f>
        <v>0</v>
      </c>
      <c r="P298" s="1110"/>
      <c r="Q298" s="1110"/>
      <c r="R298" s="1110"/>
      <c r="S298" s="1110"/>
      <c r="T298" s="1110"/>
      <c r="U298" s="1110"/>
      <c r="V298" s="1110"/>
      <c r="W298" s="1110"/>
      <c r="X298" s="1110"/>
      <c r="Y298" s="1110"/>
      <c r="Z298" s="1110"/>
      <c r="AA298" s="1106">
        <f t="shared" si="115"/>
        <v>0</v>
      </c>
      <c r="AB298" s="1113" t="e">
        <f t="shared" si="107"/>
        <v>#DIV/0!</v>
      </c>
      <c r="AC298" s="729"/>
    </row>
    <row r="299" spans="1:29" ht="22.5" hidden="1" customHeight="1" thickTop="1" thickBot="1" x14ac:dyDescent="0.3">
      <c r="A299" s="425">
        <v>1</v>
      </c>
      <c r="B299" s="505" t="s">
        <v>216</v>
      </c>
      <c r="C299" s="505" t="s">
        <v>227</v>
      </c>
      <c r="D299" s="505" t="s">
        <v>305</v>
      </c>
      <c r="E299" s="505" t="s">
        <v>313</v>
      </c>
      <c r="F299" s="505" t="s">
        <v>229</v>
      </c>
      <c r="G299" s="505"/>
      <c r="H299" s="505"/>
      <c r="I299" s="505"/>
      <c r="J299" s="505"/>
      <c r="K299" s="609" t="s">
        <v>509</v>
      </c>
      <c r="L299" s="1110"/>
      <c r="M299" s="1110"/>
      <c r="N299" s="1110"/>
      <c r="O299" s="1110">
        <f>+L299+M299-N299</f>
        <v>0</v>
      </c>
      <c r="P299" s="1110"/>
      <c r="Q299" s="1110"/>
      <c r="R299" s="1110"/>
      <c r="S299" s="1110"/>
      <c r="T299" s="1110"/>
      <c r="U299" s="1110"/>
      <c r="V299" s="1110"/>
      <c r="W299" s="1110"/>
      <c r="X299" s="1110"/>
      <c r="Y299" s="1110"/>
      <c r="Z299" s="1110"/>
      <c r="AA299" s="1106">
        <f t="shared" si="115"/>
        <v>0</v>
      </c>
      <c r="AB299" s="1113" t="e">
        <f t="shared" si="107"/>
        <v>#DIV/0!</v>
      </c>
      <c r="AC299" s="729"/>
    </row>
    <row r="300" spans="1:29" s="1097" customFormat="1" ht="22.5" hidden="1" customHeight="1" thickTop="1" thickBot="1" x14ac:dyDescent="0.3">
      <c r="A300" s="1091">
        <v>1</v>
      </c>
      <c r="B300" s="1092" t="s">
        <v>216</v>
      </c>
      <c r="C300" s="1092" t="s">
        <v>227</v>
      </c>
      <c r="D300" s="1092" t="s">
        <v>305</v>
      </c>
      <c r="E300" s="1092" t="s">
        <v>243</v>
      </c>
      <c r="F300" s="1092"/>
      <c r="G300" s="1092"/>
      <c r="H300" s="1092"/>
      <c r="I300" s="1092"/>
      <c r="J300" s="1092"/>
      <c r="K300" s="1093" t="s">
        <v>510</v>
      </c>
      <c r="L300" s="1094">
        <f>SUM(L301:L303)</f>
        <v>0</v>
      </c>
      <c r="M300" s="1094">
        <f t="shared" ref="M300:Z300" si="122">SUM(M301:M303)</f>
        <v>0</v>
      </c>
      <c r="N300" s="1094">
        <f t="shared" si="122"/>
        <v>0</v>
      </c>
      <c r="O300" s="1094">
        <f t="shared" si="122"/>
        <v>0</v>
      </c>
      <c r="P300" s="1094">
        <f t="shared" si="122"/>
        <v>0</v>
      </c>
      <c r="Q300" s="1094"/>
      <c r="R300" s="1094">
        <f t="shared" si="122"/>
        <v>0</v>
      </c>
      <c r="S300" s="1094"/>
      <c r="T300" s="1094">
        <f t="shared" si="122"/>
        <v>0</v>
      </c>
      <c r="U300" s="1094"/>
      <c r="V300" s="1094">
        <f t="shared" si="122"/>
        <v>0</v>
      </c>
      <c r="W300" s="1094"/>
      <c r="X300" s="1094">
        <f t="shared" si="122"/>
        <v>0</v>
      </c>
      <c r="Y300" s="1094">
        <f t="shared" si="122"/>
        <v>0</v>
      </c>
      <c r="Z300" s="1094">
        <f t="shared" si="122"/>
        <v>0</v>
      </c>
      <c r="AA300" s="1106">
        <f t="shared" si="115"/>
        <v>0</v>
      </c>
      <c r="AB300" s="1095" t="e">
        <f t="shared" si="107"/>
        <v>#DIV/0!</v>
      </c>
      <c r="AC300" s="1096"/>
    </row>
    <row r="301" spans="1:29" ht="22.5" hidden="1" customHeight="1" thickTop="1" thickBot="1" x14ac:dyDescent="0.3">
      <c r="A301" s="425">
        <v>1</v>
      </c>
      <c r="B301" s="505" t="s">
        <v>216</v>
      </c>
      <c r="C301" s="505" t="s">
        <v>227</v>
      </c>
      <c r="D301" s="505" t="s">
        <v>305</v>
      </c>
      <c r="E301" s="505" t="s">
        <v>243</v>
      </c>
      <c r="F301" s="505" t="s">
        <v>216</v>
      </c>
      <c r="G301" s="505"/>
      <c r="H301" s="505"/>
      <c r="I301" s="505"/>
      <c r="J301" s="505"/>
      <c r="K301" s="609" t="s">
        <v>511</v>
      </c>
      <c r="L301" s="1110"/>
      <c r="M301" s="1110"/>
      <c r="N301" s="1110"/>
      <c r="O301" s="1110">
        <f>+L301+M301-N301</f>
        <v>0</v>
      </c>
      <c r="P301" s="1110"/>
      <c r="Q301" s="1110"/>
      <c r="R301" s="1110"/>
      <c r="S301" s="1110"/>
      <c r="T301" s="1110"/>
      <c r="U301" s="1110"/>
      <c r="V301" s="1110"/>
      <c r="W301" s="1110"/>
      <c r="X301" s="1110"/>
      <c r="Y301" s="1110"/>
      <c r="Z301" s="1110"/>
      <c r="AA301" s="1106">
        <f t="shared" si="115"/>
        <v>0</v>
      </c>
      <c r="AB301" s="1113" t="e">
        <f t="shared" si="107"/>
        <v>#DIV/0!</v>
      </c>
      <c r="AC301" s="729"/>
    </row>
    <row r="302" spans="1:29" ht="22.5" hidden="1" customHeight="1" thickTop="1" thickBot="1" x14ac:dyDescent="0.3">
      <c r="A302" s="425">
        <v>1</v>
      </c>
      <c r="B302" s="505" t="s">
        <v>216</v>
      </c>
      <c r="C302" s="505" t="s">
        <v>227</v>
      </c>
      <c r="D302" s="505" t="s">
        <v>305</v>
      </c>
      <c r="E302" s="505" t="s">
        <v>243</v>
      </c>
      <c r="F302" s="505" t="s">
        <v>227</v>
      </c>
      <c r="G302" s="505"/>
      <c r="H302" s="505"/>
      <c r="I302" s="505"/>
      <c r="J302" s="505"/>
      <c r="K302" s="609" t="s">
        <v>512</v>
      </c>
      <c r="L302" s="1110"/>
      <c r="M302" s="1110"/>
      <c r="N302" s="1110"/>
      <c r="O302" s="1110">
        <f>+L302+M302-N302</f>
        <v>0</v>
      </c>
      <c r="P302" s="1110"/>
      <c r="Q302" s="1110"/>
      <c r="R302" s="1110"/>
      <c r="S302" s="1110"/>
      <c r="T302" s="1110"/>
      <c r="U302" s="1110"/>
      <c r="V302" s="1110"/>
      <c r="W302" s="1110"/>
      <c r="X302" s="1110"/>
      <c r="Y302" s="1110"/>
      <c r="Z302" s="1110"/>
      <c r="AA302" s="1106">
        <f t="shared" si="115"/>
        <v>0</v>
      </c>
      <c r="AB302" s="1113" t="e">
        <f t="shared" si="107"/>
        <v>#DIV/0!</v>
      </c>
      <c r="AC302" s="729"/>
    </row>
    <row r="303" spans="1:29" ht="22.5" hidden="1" customHeight="1" thickTop="1" thickBot="1" x14ac:dyDescent="0.3">
      <c r="A303" s="425">
        <v>1</v>
      </c>
      <c r="B303" s="505" t="s">
        <v>216</v>
      </c>
      <c r="C303" s="505" t="s">
        <v>227</v>
      </c>
      <c r="D303" s="505" t="s">
        <v>305</v>
      </c>
      <c r="E303" s="505" t="s">
        <v>243</v>
      </c>
      <c r="F303" s="505" t="s">
        <v>229</v>
      </c>
      <c r="G303" s="505"/>
      <c r="H303" s="505"/>
      <c r="I303" s="505"/>
      <c r="J303" s="505"/>
      <c r="K303" s="609" t="s">
        <v>513</v>
      </c>
      <c r="L303" s="1110"/>
      <c r="M303" s="1110"/>
      <c r="N303" s="1110"/>
      <c r="O303" s="1110">
        <f>+L303+M303-N303</f>
        <v>0</v>
      </c>
      <c r="P303" s="1110"/>
      <c r="Q303" s="1110"/>
      <c r="R303" s="1110"/>
      <c r="S303" s="1110"/>
      <c r="T303" s="1110"/>
      <c r="U303" s="1110"/>
      <c r="V303" s="1110"/>
      <c r="W303" s="1110"/>
      <c r="X303" s="1110"/>
      <c r="Y303" s="1110"/>
      <c r="Z303" s="1110"/>
      <c r="AA303" s="1106">
        <f t="shared" si="115"/>
        <v>0</v>
      </c>
      <c r="AB303" s="1113" t="e">
        <f t="shared" si="107"/>
        <v>#DIV/0!</v>
      </c>
      <c r="AC303" s="729"/>
    </row>
    <row r="304" spans="1:29" s="1097" customFormat="1" ht="22.5" hidden="1" customHeight="1" thickTop="1" thickBot="1" x14ac:dyDescent="0.3">
      <c r="A304" s="1091">
        <v>1</v>
      </c>
      <c r="B304" s="1092" t="s">
        <v>216</v>
      </c>
      <c r="C304" s="1092" t="s">
        <v>227</v>
      </c>
      <c r="D304" s="1092" t="s">
        <v>305</v>
      </c>
      <c r="E304" s="1092" t="s">
        <v>361</v>
      </c>
      <c r="F304" s="1092"/>
      <c r="G304" s="1092"/>
      <c r="H304" s="1092"/>
      <c r="I304" s="1092"/>
      <c r="J304" s="1092"/>
      <c r="K304" s="1093" t="s">
        <v>514</v>
      </c>
      <c r="L304" s="1094">
        <f>SUM(L305:L307)</f>
        <v>0</v>
      </c>
      <c r="M304" s="1094">
        <f t="shared" ref="M304:Z304" si="123">SUM(M305:M307)</f>
        <v>0</v>
      </c>
      <c r="N304" s="1094">
        <f t="shared" si="123"/>
        <v>0</v>
      </c>
      <c r="O304" s="1094">
        <f t="shared" si="123"/>
        <v>0</v>
      </c>
      <c r="P304" s="1094">
        <f t="shared" si="123"/>
        <v>0</v>
      </c>
      <c r="Q304" s="1094"/>
      <c r="R304" s="1094">
        <f t="shared" si="123"/>
        <v>0</v>
      </c>
      <c r="S304" s="1094"/>
      <c r="T304" s="1094">
        <f t="shared" si="123"/>
        <v>0</v>
      </c>
      <c r="U304" s="1094"/>
      <c r="V304" s="1094">
        <f t="shared" si="123"/>
        <v>0</v>
      </c>
      <c r="W304" s="1094"/>
      <c r="X304" s="1094">
        <f t="shared" si="123"/>
        <v>0</v>
      </c>
      <c r="Y304" s="1094">
        <f t="shared" si="123"/>
        <v>0</v>
      </c>
      <c r="Z304" s="1094">
        <f t="shared" si="123"/>
        <v>0</v>
      </c>
      <c r="AA304" s="1106">
        <f t="shared" si="115"/>
        <v>0</v>
      </c>
      <c r="AB304" s="1095" t="e">
        <f t="shared" si="107"/>
        <v>#DIV/0!</v>
      </c>
      <c r="AC304" s="1096"/>
    </row>
    <row r="305" spans="1:29" ht="22.5" hidden="1" customHeight="1" thickTop="1" thickBot="1" x14ac:dyDescent="0.3">
      <c r="A305" s="425">
        <v>1</v>
      </c>
      <c r="B305" s="505" t="s">
        <v>216</v>
      </c>
      <c r="C305" s="505" t="s">
        <v>227</v>
      </c>
      <c r="D305" s="505" t="s">
        <v>305</v>
      </c>
      <c r="E305" s="505" t="s">
        <v>361</v>
      </c>
      <c r="F305" s="505" t="s">
        <v>216</v>
      </c>
      <c r="G305" s="505"/>
      <c r="H305" s="505"/>
      <c r="I305" s="505"/>
      <c r="J305" s="505"/>
      <c r="K305" s="609" t="s">
        <v>515</v>
      </c>
      <c r="L305" s="1110"/>
      <c r="M305" s="1110"/>
      <c r="N305" s="1110"/>
      <c r="O305" s="1110">
        <f>+L305+M305-N305</f>
        <v>0</v>
      </c>
      <c r="P305" s="1110"/>
      <c r="Q305" s="1110"/>
      <c r="R305" s="1110"/>
      <c r="S305" s="1110"/>
      <c r="T305" s="1110"/>
      <c r="U305" s="1110"/>
      <c r="V305" s="1110"/>
      <c r="W305" s="1110"/>
      <c r="X305" s="1110"/>
      <c r="Y305" s="1110"/>
      <c r="Z305" s="1110"/>
      <c r="AA305" s="1106">
        <f t="shared" si="115"/>
        <v>0</v>
      </c>
      <c r="AB305" s="1113" t="e">
        <f t="shared" si="107"/>
        <v>#DIV/0!</v>
      </c>
      <c r="AC305" s="729"/>
    </row>
    <row r="306" spans="1:29" ht="22.5" hidden="1" customHeight="1" thickTop="1" thickBot="1" x14ac:dyDescent="0.3">
      <c r="A306" s="425">
        <v>1</v>
      </c>
      <c r="B306" s="505" t="s">
        <v>216</v>
      </c>
      <c r="C306" s="505" t="s">
        <v>227</v>
      </c>
      <c r="D306" s="505" t="s">
        <v>305</v>
      </c>
      <c r="E306" s="505" t="s">
        <v>361</v>
      </c>
      <c r="F306" s="505" t="s">
        <v>227</v>
      </c>
      <c r="G306" s="505"/>
      <c r="H306" s="505"/>
      <c r="I306" s="505"/>
      <c r="J306" s="505"/>
      <c r="K306" s="609" t="s">
        <v>516</v>
      </c>
      <c r="L306" s="1110"/>
      <c r="M306" s="1110"/>
      <c r="N306" s="1110"/>
      <c r="O306" s="1110">
        <f>+L306+M306-N306</f>
        <v>0</v>
      </c>
      <c r="P306" s="1110"/>
      <c r="Q306" s="1110"/>
      <c r="R306" s="1110"/>
      <c r="S306" s="1110"/>
      <c r="T306" s="1110"/>
      <c r="U306" s="1110"/>
      <c r="V306" s="1110"/>
      <c r="W306" s="1110"/>
      <c r="X306" s="1110"/>
      <c r="Y306" s="1110"/>
      <c r="Z306" s="1110"/>
      <c r="AA306" s="1106">
        <f t="shared" si="115"/>
        <v>0</v>
      </c>
      <c r="AB306" s="1113" t="e">
        <f t="shared" si="107"/>
        <v>#DIV/0!</v>
      </c>
      <c r="AC306" s="729"/>
    </row>
    <row r="307" spans="1:29" ht="35.25" hidden="1" customHeight="1" thickTop="1" thickBot="1" x14ac:dyDescent="0.3">
      <c r="A307" s="425">
        <v>1</v>
      </c>
      <c r="B307" s="505" t="s">
        <v>216</v>
      </c>
      <c r="C307" s="505" t="s">
        <v>227</v>
      </c>
      <c r="D307" s="505" t="s">
        <v>305</v>
      </c>
      <c r="E307" s="505" t="s">
        <v>361</v>
      </c>
      <c r="F307" s="505" t="s">
        <v>229</v>
      </c>
      <c r="G307" s="505"/>
      <c r="H307" s="505"/>
      <c r="I307" s="505"/>
      <c r="J307" s="505"/>
      <c r="K307" s="609" t="s">
        <v>517</v>
      </c>
      <c r="L307" s="1110"/>
      <c r="M307" s="1110"/>
      <c r="N307" s="1110"/>
      <c r="O307" s="1110">
        <f>+L307+M307-N307</f>
        <v>0</v>
      </c>
      <c r="P307" s="1110"/>
      <c r="Q307" s="1110"/>
      <c r="R307" s="1110"/>
      <c r="S307" s="1110"/>
      <c r="T307" s="1110"/>
      <c r="U307" s="1110"/>
      <c r="V307" s="1110"/>
      <c r="W307" s="1110"/>
      <c r="X307" s="1110"/>
      <c r="Y307" s="1110"/>
      <c r="Z307" s="1110"/>
      <c r="AA307" s="1106">
        <f t="shared" si="115"/>
        <v>0</v>
      </c>
      <c r="AB307" s="1113" t="e">
        <f t="shared" si="107"/>
        <v>#DIV/0!</v>
      </c>
      <c r="AC307" s="729"/>
    </row>
    <row r="308" spans="1:29" s="1090" customFormat="1" ht="22.5" customHeight="1" thickTop="1" thickBot="1" x14ac:dyDescent="0.3">
      <c r="A308" s="1086">
        <v>1</v>
      </c>
      <c r="B308" s="421" t="s">
        <v>216</v>
      </c>
      <c r="C308" s="421" t="s">
        <v>227</v>
      </c>
      <c r="D308" s="421" t="s">
        <v>243</v>
      </c>
      <c r="E308" s="421"/>
      <c r="F308" s="421"/>
      <c r="G308" s="421"/>
      <c r="H308" s="421"/>
      <c r="I308" s="421"/>
      <c r="J308" s="421"/>
      <c r="K308" s="1087" t="s">
        <v>518</v>
      </c>
      <c r="L308" s="1088">
        <f>+L309+L310+L341+L342+L343+L344</f>
        <v>1187000000</v>
      </c>
      <c r="M308" s="1088">
        <f t="shared" ref="M308:X308" si="124">+M309+M310+M341+M342+M343+M344</f>
        <v>0</v>
      </c>
      <c r="N308" s="1088">
        <f t="shared" si="124"/>
        <v>0</v>
      </c>
      <c r="O308" s="1088">
        <f t="shared" si="124"/>
        <v>1187000000</v>
      </c>
      <c r="P308" s="1088">
        <f t="shared" si="124"/>
        <v>58599999.960006714</v>
      </c>
      <c r="Q308" s="1088"/>
      <c r="R308" s="1088">
        <f t="shared" si="124"/>
        <v>1068300000</v>
      </c>
      <c r="S308" s="1088"/>
      <c r="T308" s="1088">
        <f t="shared" si="124"/>
        <v>60100000.039993286</v>
      </c>
      <c r="U308" s="1088"/>
      <c r="V308" s="1088">
        <f t="shared" si="124"/>
        <v>0</v>
      </c>
      <c r="W308" s="1088"/>
      <c r="X308" s="1088">
        <f t="shared" si="124"/>
        <v>0</v>
      </c>
      <c r="Y308" s="1088">
        <f>+Y310</f>
        <v>1388966141</v>
      </c>
      <c r="Z308" s="1088">
        <f>+Z310</f>
        <v>3678686924</v>
      </c>
      <c r="AA308" s="1106">
        <f t="shared" si="115"/>
        <v>5067653065</v>
      </c>
      <c r="AB308" s="1089" t="e">
        <f t="shared" si="107"/>
        <v>#DIV/0!</v>
      </c>
      <c r="AC308" s="511"/>
    </row>
    <row r="309" spans="1:29" s="1097" customFormat="1" ht="22.5" customHeight="1" thickTop="1" thickBot="1" x14ac:dyDescent="0.3">
      <c r="A309" s="1091">
        <v>1</v>
      </c>
      <c r="B309" s="1092" t="s">
        <v>216</v>
      </c>
      <c r="C309" s="1092" t="s">
        <v>227</v>
      </c>
      <c r="D309" s="1092" t="s">
        <v>243</v>
      </c>
      <c r="E309" s="1092" t="s">
        <v>220</v>
      </c>
      <c r="F309" s="1092"/>
      <c r="G309" s="1092"/>
      <c r="H309" s="1092"/>
      <c r="I309" s="1092"/>
      <c r="J309" s="1092"/>
      <c r="K309" s="1138" t="s">
        <v>2638</v>
      </c>
      <c r="L309" s="1094"/>
      <c r="M309" s="1094"/>
      <c r="N309" s="1094"/>
      <c r="O309" s="1094">
        <f>+L309+M309-N309</f>
        <v>0</v>
      </c>
      <c r="P309" s="1094"/>
      <c r="Q309" s="1094"/>
      <c r="R309" s="1094"/>
      <c r="S309" s="1094"/>
      <c r="T309" s="1094"/>
      <c r="U309" s="1094"/>
      <c r="V309" s="1094"/>
      <c r="W309" s="1094"/>
      <c r="X309" s="1094"/>
      <c r="Y309" s="1094"/>
      <c r="Z309" s="1094"/>
      <c r="AA309" s="1106">
        <f t="shared" si="115"/>
        <v>0</v>
      </c>
      <c r="AB309" s="1095" t="e">
        <f t="shared" si="107"/>
        <v>#DIV/0!</v>
      </c>
      <c r="AC309" s="1096"/>
    </row>
    <row r="310" spans="1:29" s="1097" customFormat="1" ht="21.75" customHeight="1" thickTop="1" thickBot="1" x14ac:dyDescent="0.3">
      <c r="A310" s="1091">
        <v>1</v>
      </c>
      <c r="B310" s="1092" t="s">
        <v>216</v>
      </c>
      <c r="C310" s="1092" t="s">
        <v>227</v>
      </c>
      <c r="D310" s="1092" t="s">
        <v>243</v>
      </c>
      <c r="E310" s="1092" t="s">
        <v>231</v>
      </c>
      <c r="F310" s="1092"/>
      <c r="G310" s="1092"/>
      <c r="H310" s="1092"/>
      <c r="I310" s="1092"/>
      <c r="J310" s="1092"/>
      <c r="K310" s="1139" t="s">
        <v>2622</v>
      </c>
      <c r="L310" s="1094">
        <f>+'[6]EJECUCION DE INGRESOS A CORTE 3'!D22</f>
        <v>1187000000</v>
      </c>
      <c r="M310" s="1094">
        <f t="shared" ref="M310:X310" si="125">SUM(M311:M340)</f>
        <v>0</v>
      </c>
      <c r="N310" s="1094">
        <f t="shared" si="125"/>
        <v>0</v>
      </c>
      <c r="O310" s="1140">
        <f>+L310+M310-N310</f>
        <v>1187000000</v>
      </c>
      <c r="P310" s="1141">
        <f>+O310-(R310+T310)</f>
        <v>58599999.960006714</v>
      </c>
      <c r="Q310" s="1142">
        <v>4.9368155009999998E-2</v>
      </c>
      <c r="R310" s="1140">
        <f>+O310*S310</f>
        <v>1068300000</v>
      </c>
      <c r="S310" s="1143">
        <v>0.9</v>
      </c>
      <c r="T310" s="1141">
        <v>60100000.039993286</v>
      </c>
      <c r="U310" s="1144">
        <f>10%-Q310%</f>
        <v>9.9506318449900003E-2</v>
      </c>
      <c r="V310" s="1094">
        <f t="shared" si="125"/>
        <v>0</v>
      </c>
      <c r="W310" s="1094"/>
      <c r="X310" s="1094">
        <f t="shared" si="125"/>
        <v>0</v>
      </c>
      <c r="Y310" s="1094">
        <v>1388966141</v>
      </c>
      <c r="Z310" s="1094">
        <v>3678686924</v>
      </c>
      <c r="AA310" s="1106">
        <f t="shared" si="115"/>
        <v>5067653065</v>
      </c>
      <c r="AB310" s="1095" t="e">
        <f t="shared" si="107"/>
        <v>#DIV/0!</v>
      </c>
      <c r="AC310" s="1096"/>
    </row>
    <row r="311" spans="1:29" ht="31.5" hidden="1" customHeight="1" thickTop="1" thickBot="1" x14ac:dyDescent="0.3">
      <c r="A311" s="425">
        <v>1</v>
      </c>
      <c r="B311" s="505" t="s">
        <v>216</v>
      </c>
      <c r="C311" s="505" t="s">
        <v>227</v>
      </c>
      <c r="D311" s="505" t="s">
        <v>243</v>
      </c>
      <c r="E311" s="505" t="s">
        <v>231</v>
      </c>
      <c r="F311" s="505" t="s">
        <v>220</v>
      </c>
      <c r="G311" s="505"/>
      <c r="H311" s="505"/>
      <c r="I311" s="505"/>
      <c r="J311" s="505"/>
      <c r="K311" s="609" t="s">
        <v>521</v>
      </c>
      <c r="L311" s="1110"/>
      <c r="M311" s="1110"/>
      <c r="N311" s="1110"/>
      <c r="O311" s="1110">
        <f>+L311+M311-N311</f>
        <v>0</v>
      </c>
      <c r="P311" s="1110"/>
      <c r="Q311" s="1110"/>
      <c r="R311" s="1110">
        <f>+O311</f>
        <v>0</v>
      </c>
      <c r="S311" s="1110"/>
      <c r="T311" s="1110"/>
      <c r="U311" s="1110"/>
      <c r="V311" s="1110"/>
      <c r="W311" s="1110"/>
      <c r="X311" s="1110"/>
      <c r="Y311" s="1110"/>
      <c r="Z311" s="1110"/>
      <c r="AA311" s="1106">
        <f t="shared" si="115"/>
        <v>0</v>
      </c>
      <c r="AB311" s="1113" t="e">
        <f t="shared" si="107"/>
        <v>#DIV/0!</v>
      </c>
      <c r="AC311" s="729"/>
    </row>
    <row r="312" spans="1:29" ht="22.5" hidden="1" customHeight="1" thickTop="1" thickBot="1" x14ac:dyDescent="0.3">
      <c r="A312" s="425">
        <v>1</v>
      </c>
      <c r="B312" s="505" t="s">
        <v>216</v>
      </c>
      <c r="C312" s="505" t="s">
        <v>227</v>
      </c>
      <c r="D312" s="505" t="s">
        <v>243</v>
      </c>
      <c r="E312" s="505" t="s">
        <v>231</v>
      </c>
      <c r="F312" s="505" t="s">
        <v>231</v>
      </c>
      <c r="G312" s="505"/>
      <c r="H312" s="505"/>
      <c r="I312" s="505"/>
      <c r="J312" s="505"/>
      <c r="K312" s="609" t="s">
        <v>522</v>
      </c>
      <c r="L312" s="1110"/>
      <c r="M312" s="1110"/>
      <c r="N312" s="1110"/>
      <c r="O312" s="1110">
        <f t="shared" ref="O312:O344" si="126">+L312+M312-N312</f>
        <v>0</v>
      </c>
      <c r="P312" s="1110"/>
      <c r="Q312" s="1110"/>
      <c r="R312" s="1110"/>
      <c r="S312" s="1110"/>
      <c r="T312" s="1110"/>
      <c r="U312" s="1110"/>
      <c r="V312" s="1110"/>
      <c r="W312" s="1110"/>
      <c r="X312" s="1110"/>
      <c r="Y312" s="1110"/>
      <c r="Z312" s="1110"/>
      <c r="AA312" s="1106">
        <f t="shared" si="115"/>
        <v>0</v>
      </c>
      <c r="AB312" s="1113" t="e">
        <f t="shared" si="107"/>
        <v>#DIV/0!</v>
      </c>
      <c r="AC312" s="729"/>
    </row>
    <row r="313" spans="1:29" ht="22.5" hidden="1" customHeight="1" thickTop="1" thickBot="1" x14ac:dyDescent="0.3">
      <c r="A313" s="425">
        <v>1</v>
      </c>
      <c r="B313" s="505" t="s">
        <v>216</v>
      </c>
      <c r="C313" s="505" t="s">
        <v>227</v>
      </c>
      <c r="D313" s="505" t="s">
        <v>243</v>
      </c>
      <c r="E313" s="505" t="s">
        <v>231</v>
      </c>
      <c r="F313" s="505" t="s">
        <v>305</v>
      </c>
      <c r="G313" s="505"/>
      <c r="H313" s="505"/>
      <c r="I313" s="505"/>
      <c r="J313" s="505"/>
      <c r="K313" s="609" t="s">
        <v>523</v>
      </c>
      <c r="L313" s="1110"/>
      <c r="M313" s="1110"/>
      <c r="N313" s="1110"/>
      <c r="O313" s="1110">
        <f t="shared" si="126"/>
        <v>0</v>
      </c>
      <c r="P313" s="1110"/>
      <c r="Q313" s="1110"/>
      <c r="R313" s="1110"/>
      <c r="S313" s="1110"/>
      <c r="T313" s="1110"/>
      <c r="U313" s="1110"/>
      <c r="V313" s="1110"/>
      <c r="W313" s="1110"/>
      <c r="X313" s="1110"/>
      <c r="Y313" s="1110"/>
      <c r="Z313" s="1110"/>
      <c r="AA313" s="1106">
        <f t="shared" si="115"/>
        <v>0</v>
      </c>
      <c r="AB313" s="1113" t="e">
        <f t="shared" si="107"/>
        <v>#DIV/0!</v>
      </c>
      <c r="AC313" s="729"/>
    </row>
    <row r="314" spans="1:29" ht="22.5" hidden="1" customHeight="1" thickTop="1" thickBot="1" x14ac:dyDescent="0.3">
      <c r="A314" s="425">
        <v>1</v>
      </c>
      <c r="B314" s="505" t="s">
        <v>216</v>
      </c>
      <c r="C314" s="505" t="s">
        <v>227</v>
      </c>
      <c r="D314" s="505" t="s">
        <v>243</v>
      </c>
      <c r="E314" s="505" t="s">
        <v>231</v>
      </c>
      <c r="F314" s="505" t="s">
        <v>313</v>
      </c>
      <c r="G314" s="505"/>
      <c r="H314" s="505"/>
      <c r="I314" s="505"/>
      <c r="J314" s="505"/>
      <c r="K314" s="609" t="s">
        <v>524</v>
      </c>
      <c r="L314" s="1110"/>
      <c r="M314" s="1110"/>
      <c r="N314" s="1110"/>
      <c r="O314" s="1110">
        <f t="shared" si="126"/>
        <v>0</v>
      </c>
      <c r="P314" s="1110"/>
      <c r="Q314" s="1110"/>
      <c r="R314" s="1110"/>
      <c r="S314" s="1110"/>
      <c r="T314" s="1110"/>
      <c r="U314" s="1110"/>
      <c r="V314" s="1110"/>
      <c r="W314" s="1110"/>
      <c r="X314" s="1110"/>
      <c r="Y314" s="1110"/>
      <c r="Z314" s="1110"/>
      <c r="AA314" s="1106">
        <f t="shared" si="115"/>
        <v>0</v>
      </c>
      <c r="AB314" s="1113" t="e">
        <f t="shared" si="107"/>
        <v>#DIV/0!</v>
      </c>
      <c r="AC314" s="729"/>
    </row>
    <row r="315" spans="1:29" ht="22.5" hidden="1" customHeight="1" thickTop="1" thickBot="1" x14ac:dyDescent="0.3">
      <c r="A315" s="425">
        <v>1</v>
      </c>
      <c r="B315" s="505" t="s">
        <v>216</v>
      </c>
      <c r="C315" s="505" t="s">
        <v>227</v>
      </c>
      <c r="D315" s="505" t="s">
        <v>243</v>
      </c>
      <c r="E315" s="505" t="s">
        <v>231</v>
      </c>
      <c r="F315" s="505" t="s">
        <v>243</v>
      </c>
      <c r="G315" s="505"/>
      <c r="H315" s="505"/>
      <c r="I315" s="505"/>
      <c r="J315" s="505"/>
      <c r="K315" s="609" t="s">
        <v>525</v>
      </c>
      <c r="L315" s="1110"/>
      <c r="M315" s="1110"/>
      <c r="N315" s="1110"/>
      <c r="O315" s="1110">
        <f t="shared" si="126"/>
        <v>0</v>
      </c>
      <c r="P315" s="1110"/>
      <c r="Q315" s="1110"/>
      <c r="R315" s="1110"/>
      <c r="S315" s="1110"/>
      <c r="T315" s="1110"/>
      <c r="U315" s="1110"/>
      <c r="V315" s="1110"/>
      <c r="W315" s="1110"/>
      <c r="X315" s="1110"/>
      <c r="Y315" s="1110"/>
      <c r="Z315" s="1110"/>
      <c r="AA315" s="1106">
        <f t="shared" si="115"/>
        <v>0</v>
      </c>
      <c r="AB315" s="1113" t="e">
        <f t="shared" si="107"/>
        <v>#DIV/0!</v>
      </c>
      <c r="AC315" s="729"/>
    </row>
    <row r="316" spans="1:29" ht="22.5" hidden="1" customHeight="1" thickTop="1" thickBot="1" x14ac:dyDescent="0.3">
      <c r="A316" s="425">
        <v>1</v>
      </c>
      <c r="B316" s="505" t="s">
        <v>216</v>
      </c>
      <c r="C316" s="505" t="s">
        <v>227</v>
      </c>
      <c r="D316" s="505" t="s">
        <v>243</v>
      </c>
      <c r="E316" s="505" t="s">
        <v>231</v>
      </c>
      <c r="F316" s="505" t="s">
        <v>361</v>
      </c>
      <c r="G316" s="505"/>
      <c r="H316" s="505"/>
      <c r="I316" s="505"/>
      <c r="J316" s="505"/>
      <c r="K316" s="609" t="s">
        <v>526</v>
      </c>
      <c r="L316" s="1110"/>
      <c r="M316" s="1110"/>
      <c r="N316" s="1110"/>
      <c r="O316" s="1110">
        <f t="shared" si="126"/>
        <v>0</v>
      </c>
      <c r="P316" s="1110"/>
      <c r="Q316" s="1110"/>
      <c r="R316" s="1110"/>
      <c r="S316" s="1110"/>
      <c r="T316" s="1110"/>
      <c r="U316" s="1110"/>
      <c r="V316" s="1110"/>
      <c r="W316" s="1110"/>
      <c r="X316" s="1110"/>
      <c r="Y316" s="1110"/>
      <c r="Z316" s="1110"/>
      <c r="AA316" s="1106">
        <f t="shared" si="115"/>
        <v>0</v>
      </c>
      <c r="AB316" s="1113" t="e">
        <f t="shared" si="107"/>
        <v>#DIV/0!</v>
      </c>
      <c r="AC316" s="729"/>
    </row>
    <row r="317" spans="1:29" ht="22.5" hidden="1" customHeight="1" thickTop="1" thickBot="1" x14ac:dyDescent="0.3">
      <c r="A317" s="425">
        <v>1</v>
      </c>
      <c r="B317" s="505" t="s">
        <v>216</v>
      </c>
      <c r="C317" s="505" t="s">
        <v>227</v>
      </c>
      <c r="D317" s="505" t="s">
        <v>243</v>
      </c>
      <c r="E317" s="505" t="s">
        <v>231</v>
      </c>
      <c r="F317" s="505" t="s">
        <v>366</v>
      </c>
      <c r="G317" s="505"/>
      <c r="H317" s="505"/>
      <c r="I317" s="505"/>
      <c r="J317" s="505"/>
      <c r="K317" s="609" t="s">
        <v>527</v>
      </c>
      <c r="L317" s="1110"/>
      <c r="M317" s="1110"/>
      <c r="N317" s="1110"/>
      <c r="O317" s="1110">
        <f t="shared" si="126"/>
        <v>0</v>
      </c>
      <c r="P317" s="1110"/>
      <c r="Q317" s="1110"/>
      <c r="R317" s="1110"/>
      <c r="S317" s="1110"/>
      <c r="T317" s="1110"/>
      <c r="U317" s="1110"/>
      <c r="V317" s="1110"/>
      <c r="W317" s="1110"/>
      <c r="X317" s="1110"/>
      <c r="Y317" s="1110"/>
      <c r="Z317" s="1110"/>
      <c r="AA317" s="1106">
        <f t="shared" si="115"/>
        <v>0</v>
      </c>
      <c r="AB317" s="1113" t="e">
        <f t="shared" si="107"/>
        <v>#DIV/0!</v>
      </c>
      <c r="AC317" s="729"/>
    </row>
    <row r="318" spans="1:29" ht="22.5" hidden="1" customHeight="1" thickTop="1" thickBot="1" x14ac:dyDescent="0.3">
      <c r="A318" s="425">
        <v>1</v>
      </c>
      <c r="B318" s="505" t="s">
        <v>216</v>
      </c>
      <c r="C318" s="505" t="s">
        <v>227</v>
      </c>
      <c r="D318" s="505" t="s">
        <v>243</v>
      </c>
      <c r="E318" s="505" t="s">
        <v>231</v>
      </c>
      <c r="F318" s="505" t="s">
        <v>371</v>
      </c>
      <c r="G318" s="505"/>
      <c r="H318" s="505"/>
      <c r="I318" s="505"/>
      <c r="J318" s="505"/>
      <c r="K318" s="609" t="s">
        <v>528</v>
      </c>
      <c r="L318" s="1110"/>
      <c r="M318" s="1110"/>
      <c r="N318" s="1110"/>
      <c r="O318" s="1110">
        <f t="shared" si="126"/>
        <v>0</v>
      </c>
      <c r="P318" s="1110"/>
      <c r="Q318" s="1110"/>
      <c r="R318" s="1110"/>
      <c r="S318" s="1110"/>
      <c r="T318" s="1110"/>
      <c r="U318" s="1110"/>
      <c r="V318" s="1110"/>
      <c r="W318" s="1110"/>
      <c r="X318" s="1110"/>
      <c r="Y318" s="1110"/>
      <c r="Z318" s="1110"/>
      <c r="AA318" s="1106">
        <f t="shared" si="115"/>
        <v>0</v>
      </c>
      <c r="AB318" s="1113" t="e">
        <f t="shared" si="107"/>
        <v>#DIV/0!</v>
      </c>
      <c r="AC318" s="729"/>
    </row>
    <row r="319" spans="1:29" ht="22.5" hidden="1" customHeight="1" thickTop="1" thickBot="1" x14ac:dyDescent="0.3">
      <c r="A319" s="425">
        <v>1</v>
      </c>
      <c r="B319" s="505" t="s">
        <v>216</v>
      </c>
      <c r="C319" s="505" t="s">
        <v>227</v>
      </c>
      <c r="D319" s="505" t="s">
        <v>243</v>
      </c>
      <c r="E319" s="505" t="s">
        <v>231</v>
      </c>
      <c r="F319" s="505" t="s">
        <v>376</v>
      </c>
      <c r="G319" s="505"/>
      <c r="H319" s="505"/>
      <c r="I319" s="505"/>
      <c r="J319" s="505"/>
      <c r="K319" s="609" t="s">
        <v>529</v>
      </c>
      <c r="L319" s="1110"/>
      <c r="M319" s="1110"/>
      <c r="N319" s="1110"/>
      <c r="O319" s="1110">
        <f t="shared" si="126"/>
        <v>0</v>
      </c>
      <c r="P319" s="1110"/>
      <c r="Q319" s="1110"/>
      <c r="R319" s="1110"/>
      <c r="S319" s="1110"/>
      <c r="T319" s="1110"/>
      <c r="U319" s="1110"/>
      <c r="V319" s="1110"/>
      <c r="W319" s="1110"/>
      <c r="X319" s="1110"/>
      <c r="Y319" s="1110"/>
      <c r="Z319" s="1110"/>
      <c r="AA319" s="1106">
        <f t="shared" si="115"/>
        <v>0</v>
      </c>
      <c r="AB319" s="1113" t="e">
        <f t="shared" si="107"/>
        <v>#DIV/0!</v>
      </c>
      <c r="AC319" s="729"/>
    </row>
    <row r="320" spans="1:29" ht="22.5" hidden="1" customHeight="1" thickTop="1" thickBot="1" x14ac:dyDescent="0.3">
      <c r="A320" s="425">
        <v>1</v>
      </c>
      <c r="B320" s="505" t="s">
        <v>216</v>
      </c>
      <c r="C320" s="505" t="s">
        <v>227</v>
      </c>
      <c r="D320" s="505" t="s">
        <v>243</v>
      </c>
      <c r="E320" s="505" t="s">
        <v>231</v>
      </c>
      <c r="F320" s="505" t="s">
        <v>381</v>
      </c>
      <c r="G320" s="505"/>
      <c r="H320" s="505"/>
      <c r="I320" s="505"/>
      <c r="J320" s="505"/>
      <c r="K320" s="609" t="s">
        <v>530</v>
      </c>
      <c r="L320" s="1110"/>
      <c r="M320" s="1110"/>
      <c r="N320" s="1110"/>
      <c r="O320" s="1110">
        <f t="shared" si="126"/>
        <v>0</v>
      </c>
      <c r="P320" s="1110"/>
      <c r="Q320" s="1110"/>
      <c r="R320" s="1110"/>
      <c r="S320" s="1110"/>
      <c r="T320" s="1110"/>
      <c r="U320" s="1110"/>
      <c r="V320" s="1110"/>
      <c r="W320" s="1110"/>
      <c r="X320" s="1110"/>
      <c r="Y320" s="1110"/>
      <c r="Z320" s="1110"/>
      <c r="AA320" s="1106">
        <f t="shared" si="115"/>
        <v>0</v>
      </c>
      <c r="AB320" s="1113" t="e">
        <f t="shared" si="107"/>
        <v>#DIV/0!</v>
      </c>
      <c r="AC320" s="729"/>
    </row>
    <row r="321" spans="1:29" ht="22.5" hidden="1" customHeight="1" thickTop="1" thickBot="1" x14ac:dyDescent="0.3">
      <c r="A321" s="425">
        <v>1</v>
      </c>
      <c r="B321" s="505" t="s">
        <v>216</v>
      </c>
      <c r="C321" s="505" t="s">
        <v>227</v>
      </c>
      <c r="D321" s="505" t="s">
        <v>243</v>
      </c>
      <c r="E321" s="505" t="s">
        <v>231</v>
      </c>
      <c r="F321" s="505" t="s">
        <v>531</v>
      </c>
      <c r="G321" s="505"/>
      <c r="H321" s="505"/>
      <c r="I321" s="505"/>
      <c r="J321" s="505"/>
      <c r="K321" s="609" t="s">
        <v>532</v>
      </c>
      <c r="L321" s="1110"/>
      <c r="M321" s="1110"/>
      <c r="N321" s="1110"/>
      <c r="O321" s="1110">
        <f t="shared" si="126"/>
        <v>0</v>
      </c>
      <c r="P321" s="1110"/>
      <c r="Q321" s="1110"/>
      <c r="R321" s="1110"/>
      <c r="S321" s="1110"/>
      <c r="T321" s="1110"/>
      <c r="U321" s="1110"/>
      <c r="V321" s="1110"/>
      <c r="W321" s="1110"/>
      <c r="X321" s="1110"/>
      <c r="Y321" s="1110"/>
      <c r="Z321" s="1110"/>
      <c r="AA321" s="1106">
        <f t="shared" si="115"/>
        <v>0</v>
      </c>
      <c r="AB321" s="1113" t="e">
        <f t="shared" si="107"/>
        <v>#DIV/0!</v>
      </c>
      <c r="AC321" s="729"/>
    </row>
    <row r="322" spans="1:29" ht="22.5" hidden="1" customHeight="1" thickTop="1" thickBot="1" x14ac:dyDescent="0.3">
      <c r="A322" s="425">
        <v>1</v>
      </c>
      <c r="B322" s="505" t="s">
        <v>216</v>
      </c>
      <c r="C322" s="505" t="s">
        <v>227</v>
      </c>
      <c r="D322" s="505" t="s">
        <v>243</v>
      </c>
      <c r="E322" s="505" t="s">
        <v>231</v>
      </c>
      <c r="F322" s="505" t="s">
        <v>533</v>
      </c>
      <c r="G322" s="505"/>
      <c r="H322" s="505"/>
      <c r="I322" s="505"/>
      <c r="J322" s="505"/>
      <c r="K322" s="609" t="s">
        <v>534</v>
      </c>
      <c r="L322" s="1110"/>
      <c r="M322" s="1110"/>
      <c r="N322" s="1110"/>
      <c r="O322" s="1110">
        <f t="shared" si="126"/>
        <v>0</v>
      </c>
      <c r="P322" s="1110"/>
      <c r="Q322" s="1110"/>
      <c r="R322" s="1110"/>
      <c r="S322" s="1110"/>
      <c r="T322" s="1110"/>
      <c r="U322" s="1110"/>
      <c r="V322" s="1110"/>
      <c r="W322" s="1110"/>
      <c r="X322" s="1110"/>
      <c r="Y322" s="1110"/>
      <c r="Z322" s="1110"/>
      <c r="AA322" s="1106">
        <f t="shared" si="115"/>
        <v>0</v>
      </c>
      <c r="AB322" s="1113" t="e">
        <f t="shared" si="107"/>
        <v>#DIV/0!</v>
      </c>
      <c r="AC322" s="729"/>
    </row>
    <row r="323" spans="1:29" ht="22.5" hidden="1" customHeight="1" thickTop="1" thickBot="1" x14ac:dyDescent="0.3">
      <c r="A323" s="425">
        <v>1</v>
      </c>
      <c r="B323" s="505" t="s">
        <v>216</v>
      </c>
      <c r="C323" s="505" t="s">
        <v>227</v>
      </c>
      <c r="D323" s="505" t="s">
        <v>243</v>
      </c>
      <c r="E323" s="505" t="s">
        <v>231</v>
      </c>
      <c r="F323" s="505" t="s">
        <v>322</v>
      </c>
      <c r="G323" s="505"/>
      <c r="H323" s="505"/>
      <c r="I323" s="505"/>
      <c r="J323" s="505"/>
      <c r="K323" s="609" t="s">
        <v>535</v>
      </c>
      <c r="L323" s="1110"/>
      <c r="M323" s="1110"/>
      <c r="N323" s="1110"/>
      <c r="O323" s="1110">
        <f t="shared" si="126"/>
        <v>0</v>
      </c>
      <c r="P323" s="1110"/>
      <c r="Q323" s="1110"/>
      <c r="R323" s="1110"/>
      <c r="S323" s="1110"/>
      <c r="T323" s="1110"/>
      <c r="U323" s="1110"/>
      <c r="V323" s="1110"/>
      <c r="W323" s="1110"/>
      <c r="X323" s="1110"/>
      <c r="Y323" s="1110"/>
      <c r="Z323" s="1110"/>
      <c r="AA323" s="1106">
        <f t="shared" si="115"/>
        <v>0</v>
      </c>
      <c r="AB323" s="1113" t="e">
        <f t="shared" si="107"/>
        <v>#DIV/0!</v>
      </c>
      <c r="AC323" s="729"/>
    </row>
    <row r="324" spans="1:29" ht="22.5" hidden="1" customHeight="1" thickTop="1" thickBot="1" x14ac:dyDescent="0.3">
      <c r="A324" s="425">
        <v>1</v>
      </c>
      <c r="B324" s="505" t="s">
        <v>216</v>
      </c>
      <c r="C324" s="505" t="s">
        <v>227</v>
      </c>
      <c r="D324" s="505" t="s">
        <v>243</v>
      </c>
      <c r="E324" s="505" t="s">
        <v>231</v>
      </c>
      <c r="F324" s="505" t="s">
        <v>394</v>
      </c>
      <c r="G324" s="505"/>
      <c r="H324" s="505"/>
      <c r="I324" s="505"/>
      <c r="J324" s="505"/>
      <c r="K324" s="609" t="s">
        <v>536</v>
      </c>
      <c r="L324" s="1110"/>
      <c r="M324" s="1110"/>
      <c r="N324" s="1110"/>
      <c r="O324" s="1110">
        <f t="shared" si="126"/>
        <v>0</v>
      </c>
      <c r="P324" s="1110"/>
      <c r="Q324" s="1110"/>
      <c r="R324" s="1110"/>
      <c r="S324" s="1110"/>
      <c r="T324" s="1110"/>
      <c r="U324" s="1110"/>
      <c r="V324" s="1110"/>
      <c r="W324" s="1110"/>
      <c r="X324" s="1110"/>
      <c r="Y324" s="1110"/>
      <c r="Z324" s="1110"/>
      <c r="AA324" s="1106">
        <f t="shared" si="115"/>
        <v>0</v>
      </c>
      <c r="AB324" s="1113" t="e">
        <f t="shared" ref="AB324:AB387" si="127">+AA324/X324</f>
        <v>#DIV/0!</v>
      </c>
      <c r="AC324" s="729"/>
    </row>
    <row r="325" spans="1:29" ht="22.5" hidden="1" customHeight="1" thickTop="1" thickBot="1" x14ac:dyDescent="0.3">
      <c r="A325" s="425">
        <v>1</v>
      </c>
      <c r="B325" s="505" t="s">
        <v>216</v>
      </c>
      <c r="C325" s="505" t="s">
        <v>227</v>
      </c>
      <c r="D325" s="505" t="s">
        <v>243</v>
      </c>
      <c r="E325" s="505" t="s">
        <v>231</v>
      </c>
      <c r="F325" s="505" t="s">
        <v>537</v>
      </c>
      <c r="G325" s="505"/>
      <c r="H325" s="505"/>
      <c r="I325" s="505"/>
      <c r="J325" s="505"/>
      <c r="K325" s="609" t="s">
        <v>538</v>
      </c>
      <c r="L325" s="1110"/>
      <c r="M325" s="1110"/>
      <c r="N325" s="1110"/>
      <c r="O325" s="1110">
        <f t="shared" si="126"/>
        <v>0</v>
      </c>
      <c r="P325" s="1110"/>
      <c r="Q325" s="1110"/>
      <c r="R325" s="1110"/>
      <c r="S325" s="1110"/>
      <c r="T325" s="1110"/>
      <c r="U325" s="1110"/>
      <c r="V325" s="1110"/>
      <c r="W325" s="1110"/>
      <c r="X325" s="1110"/>
      <c r="Y325" s="1110"/>
      <c r="Z325" s="1110"/>
      <c r="AA325" s="1106">
        <f t="shared" si="115"/>
        <v>0</v>
      </c>
      <c r="AB325" s="1113" t="e">
        <f t="shared" si="127"/>
        <v>#DIV/0!</v>
      </c>
      <c r="AC325" s="729"/>
    </row>
    <row r="326" spans="1:29" ht="22.5" hidden="1" customHeight="1" thickTop="1" thickBot="1" x14ac:dyDescent="0.3">
      <c r="A326" s="425">
        <v>1</v>
      </c>
      <c r="B326" s="505" t="s">
        <v>216</v>
      </c>
      <c r="C326" s="505" t="s">
        <v>227</v>
      </c>
      <c r="D326" s="505" t="s">
        <v>243</v>
      </c>
      <c r="E326" s="505" t="s">
        <v>231</v>
      </c>
      <c r="F326" s="505" t="s">
        <v>539</v>
      </c>
      <c r="G326" s="505"/>
      <c r="H326" s="505"/>
      <c r="I326" s="505"/>
      <c r="J326" s="505"/>
      <c r="K326" s="609" t="s">
        <v>540</v>
      </c>
      <c r="L326" s="1110"/>
      <c r="M326" s="1110"/>
      <c r="N326" s="1110"/>
      <c r="O326" s="1110">
        <f t="shared" si="126"/>
        <v>0</v>
      </c>
      <c r="P326" s="1110"/>
      <c r="Q326" s="1110"/>
      <c r="R326" s="1110"/>
      <c r="S326" s="1110"/>
      <c r="T326" s="1110"/>
      <c r="U326" s="1110"/>
      <c r="V326" s="1110"/>
      <c r="W326" s="1110"/>
      <c r="X326" s="1110"/>
      <c r="Y326" s="1110"/>
      <c r="Z326" s="1110"/>
      <c r="AA326" s="1106">
        <f t="shared" si="115"/>
        <v>0</v>
      </c>
      <c r="AB326" s="1113" t="e">
        <f t="shared" si="127"/>
        <v>#DIV/0!</v>
      </c>
      <c r="AC326" s="729"/>
    </row>
    <row r="327" spans="1:29" ht="0.75" hidden="1" customHeight="1" thickTop="1" thickBot="1" x14ac:dyDescent="0.3">
      <c r="A327" s="425">
        <v>1</v>
      </c>
      <c r="B327" s="505" t="s">
        <v>216</v>
      </c>
      <c r="C327" s="505" t="s">
        <v>227</v>
      </c>
      <c r="D327" s="505" t="s">
        <v>243</v>
      </c>
      <c r="E327" s="505" t="s">
        <v>231</v>
      </c>
      <c r="F327" s="505" t="s">
        <v>541</v>
      </c>
      <c r="G327" s="505"/>
      <c r="H327" s="505"/>
      <c r="I327" s="505"/>
      <c r="J327" s="505"/>
      <c r="K327" s="609" t="s">
        <v>542</v>
      </c>
      <c r="L327" s="1110"/>
      <c r="M327" s="1110"/>
      <c r="N327" s="1110"/>
      <c r="O327" s="1110">
        <f t="shared" si="126"/>
        <v>0</v>
      </c>
      <c r="P327" s="1110"/>
      <c r="Q327" s="1110"/>
      <c r="R327" s="1110"/>
      <c r="S327" s="1110"/>
      <c r="T327" s="1110"/>
      <c r="U327" s="1110"/>
      <c r="V327" s="1110"/>
      <c r="W327" s="1110"/>
      <c r="X327" s="1110"/>
      <c r="Y327" s="1110"/>
      <c r="Z327" s="1110"/>
      <c r="AA327" s="1106">
        <f t="shared" si="115"/>
        <v>0</v>
      </c>
      <c r="AB327" s="1113" t="e">
        <f t="shared" si="127"/>
        <v>#DIV/0!</v>
      </c>
      <c r="AC327" s="729"/>
    </row>
    <row r="328" spans="1:29" ht="22.5" hidden="1" customHeight="1" thickTop="1" thickBot="1" x14ac:dyDescent="0.3">
      <c r="A328" s="425">
        <v>1</v>
      </c>
      <c r="B328" s="505" t="s">
        <v>216</v>
      </c>
      <c r="C328" s="505" t="s">
        <v>227</v>
      </c>
      <c r="D328" s="505" t="s">
        <v>243</v>
      </c>
      <c r="E328" s="505" t="s">
        <v>231</v>
      </c>
      <c r="F328" s="505" t="s">
        <v>543</v>
      </c>
      <c r="G328" s="505"/>
      <c r="H328" s="505"/>
      <c r="I328" s="505"/>
      <c r="J328" s="505"/>
      <c r="K328" s="609" t="s">
        <v>544</v>
      </c>
      <c r="L328" s="1110"/>
      <c r="M328" s="1110"/>
      <c r="N328" s="1110"/>
      <c r="O328" s="1110">
        <f t="shared" si="126"/>
        <v>0</v>
      </c>
      <c r="P328" s="1110"/>
      <c r="Q328" s="1110"/>
      <c r="R328" s="1110"/>
      <c r="S328" s="1110"/>
      <c r="T328" s="1110"/>
      <c r="U328" s="1110"/>
      <c r="V328" s="1110"/>
      <c r="W328" s="1110"/>
      <c r="X328" s="1110"/>
      <c r="Y328" s="1110"/>
      <c r="Z328" s="1110"/>
      <c r="AA328" s="1106">
        <f t="shared" si="115"/>
        <v>0</v>
      </c>
      <c r="AB328" s="1113" t="e">
        <f t="shared" si="127"/>
        <v>#DIV/0!</v>
      </c>
      <c r="AC328" s="729"/>
    </row>
    <row r="329" spans="1:29" ht="22.5" hidden="1" customHeight="1" thickTop="1" thickBot="1" x14ac:dyDescent="0.3">
      <c r="A329" s="425">
        <v>1</v>
      </c>
      <c r="B329" s="505" t="s">
        <v>216</v>
      </c>
      <c r="C329" s="505" t="s">
        <v>227</v>
      </c>
      <c r="D329" s="505" t="s">
        <v>243</v>
      </c>
      <c r="E329" s="505" t="s">
        <v>231</v>
      </c>
      <c r="F329" s="505" t="s">
        <v>545</v>
      </c>
      <c r="G329" s="505"/>
      <c r="H329" s="505"/>
      <c r="I329" s="505"/>
      <c r="J329" s="505"/>
      <c r="K329" s="609" t="s">
        <v>546</v>
      </c>
      <c r="L329" s="1110"/>
      <c r="M329" s="1110"/>
      <c r="N329" s="1110"/>
      <c r="O329" s="1110">
        <f t="shared" si="126"/>
        <v>0</v>
      </c>
      <c r="P329" s="1110"/>
      <c r="Q329" s="1110"/>
      <c r="R329" s="1110"/>
      <c r="S329" s="1110"/>
      <c r="T329" s="1110"/>
      <c r="U329" s="1110"/>
      <c r="V329" s="1110"/>
      <c r="W329" s="1110"/>
      <c r="X329" s="1110"/>
      <c r="Y329" s="1110"/>
      <c r="Z329" s="1110"/>
      <c r="AA329" s="1106">
        <f t="shared" si="115"/>
        <v>0</v>
      </c>
      <c r="AB329" s="1113" t="e">
        <f t="shared" si="127"/>
        <v>#DIV/0!</v>
      </c>
      <c r="AC329" s="729"/>
    </row>
    <row r="330" spans="1:29" ht="22.5" hidden="1" customHeight="1" thickTop="1" thickBot="1" x14ac:dyDescent="0.3">
      <c r="A330" s="425">
        <v>1</v>
      </c>
      <c r="B330" s="505" t="s">
        <v>216</v>
      </c>
      <c r="C330" s="505" t="s">
        <v>227</v>
      </c>
      <c r="D330" s="505" t="s">
        <v>243</v>
      </c>
      <c r="E330" s="505" t="s">
        <v>231</v>
      </c>
      <c r="F330" s="505" t="s">
        <v>547</v>
      </c>
      <c r="G330" s="505"/>
      <c r="H330" s="505"/>
      <c r="I330" s="505"/>
      <c r="J330" s="505"/>
      <c r="K330" s="609" t="s">
        <v>548</v>
      </c>
      <c r="L330" s="1110"/>
      <c r="M330" s="1110"/>
      <c r="N330" s="1110"/>
      <c r="O330" s="1110">
        <f t="shared" si="126"/>
        <v>0</v>
      </c>
      <c r="P330" s="1110"/>
      <c r="Q330" s="1110"/>
      <c r="R330" s="1110"/>
      <c r="S330" s="1110"/>
      <c r="T330" s="1110"/>
      <c r="U330" s="1110"/>
      <c r="V330" s="1110"/>
      <c r="W330" s="1110"/>
      <c r="X330" s="1110"/>
      <c r="Y330" s="1110"/>
      <c r="Z330" s="1110"/>
      <c r="AA330" s="1106">
        <f t="shared" si="115"/>
        <v>0</v>
      </c>
      <c r="AB330" s="1113" t="e">
        <f t="shared" si="127"/>
        <v>#DIV/0!</v>
      </c>
      <c r="AC330" s="729"/>
    </row>
    <row r="331" spans="1:29" ht="22.5" hidden="1" customHeight="1" thickTop="1" thickBot="1" x14ac:dyDescent="0.3">
      <c r="A331" s="425">
        <v>1</v>
      </c>
      <c r="B331" s="505" t="s">
        <v>216</v>
      </c>
      <c r="C331" s="505" t="s">
        <v>227</v>
      </c>
      <c r="D331" s="505" t="s">
        <v>243</v>
      </c>
      <c r="E331" s="505" t="s">
        <v>231</v>
      </c>
      <c r="F331" s="505" t="s">
        <v>549</v>
      </c>
      <c r="G331" s="505"/>
      <c r="H331" s="505"/>
      <c r="I331" s="505"/>
      <c r="J331" s="505"/>
      <c r="K331" s="609" t="s">
        <v>550</v>
      </c>
      <c r="L331" s="1110"/>
      <c r="M331" s="1110"/>
      <c r="N331" s="1110"/>
      <c r="O331" s="1110">
        <f t="shared" si="126"/>
        <v>0</v>
      </c>
      <c r="P331" s="1110"/>
      <c r="Q331" s="1110"/>
      <c r="R331" s="1110"/>
      <c r="S331" s="1110"/>
      <c r="T331" s="1110"/>
      <c r="U331" s="1110"/>
      <c r="V331" s="1110"/>
      <c r="W331" s="1110"/>
      <c r="X331" s="1110"/>
      <c r="Y331" s="1110"/>
      <c r="Z331" s="1110"/>
      <c r="AA331" s="1106">
        <f t="shared" si="115"/>
        <v>0</v>
      </c>
      <c r="AB331" s="1113" t="e">
        <f t="shared" si="127"/>
        <v>#DIV/0!</v>
      </c>
      <c r="AC331" s="729"/>
    </row>
    <row r="332" spans="1:29" ht="22.5" hidden="1" customHeight="1" thickTop="1" thickBot="1" x14ac:dyDescent="0.3">
      <c r="A332" s="425">
        <v>1</v>
      </c>
      <c r="B332" s="505" t="s">
        <v>216</v>
      </c>
      <c r="C332" s="505" t="s">
        <v>227</v>
      </c>
      <c r="D332" s="505" t="s">
        <v>243</v>
      </c>
      <c r="E332" s="505" t="s">
        <v>231</v>
      </c>
      <c r="F332" s="505" t="s">
        <v>327</v>
      </c>
      <c r="G332" s="505"/>
      <c r="H332" s="505"/>
      <c r="I332" s="505"/>
      <c r="J332" s="505"/>
      <c r="K332" s="609" t="s">
        <v>551</v>
      </c>
      <c r="L332" s="1110"/>
      <c r="M332" s="1110"/>
      <c r="N332" s="1110"/>
      <c r="O332" s="1110">
        <f t="shared" si="126"/>
        <v>0</v>
      </c>
      <c r="P332" s="1110"/>
      <c r="Q332" s="1110"/>
      <c r="R332" s="1110"/>
      <c r="S332" s="1110"/>
      <c r="T332" s="1110"/>
      <c r="U332" s="1110"/>
      <c r="V332" s="1110"/>
      <c r="W332" s="1110"/>
      <c r="X332" s="1110"/>
      <c r="Y332" s="1110"/>
      <c r="Z332" s="1110"/>
      <c r="AA332" s="1106">
        <f t="shared" si="115"/>
        <v>0</v>
      </c>
      <c r="AB332" s="1113" t="e">
        <f t="shared" si="127"/>
        <v>#DIV/0!</v>
      </c>
      <c r="AC332" s="729"/>
    </row>
    <row r="333" spans="1:29" ht="22.5" hidden="1" customHeight="1" thickTop="1" thickBot="1" x14ac:dyDescent="0.3">
      <c r="A333" s="425">
        <v>1</v>
      </c>
      <c r="B333" s="505" t="s">
        <v>216</v>
      </c>
      <c r="C333" s="505" t="s">
        <v>227</v>
      </c>
      <c r="D333" s="505" t="s">
        <v>243</v>
      </c>
      <c r="E333" s="505" t="s">
        <v>231</v>
      </c>
      <c r="F333" s="505" t="s">
        <v>552</v>
      </c>
      <c r="G333" s="505"/>
      <c r="H333" s="505"/>
      <c r="I333" s="505"/>
      <c r="J333" s="505"/>
      <c r="K333" s="609" t="s">
        <v>553</v>
      </c>
      <c r="L333" s="1110"/>
      <c r="M333" s="1110"/>
      <c r="N333" s="1110"/>
      <c r="O333" s="1110">
        <f t="shared" si="126"/>
        <v>0</v>
      </c>
      <c r="P333" s="1110"/>
      <c r="Q333" s="1110"/>
      <c r="R333" s="1110"/>
      <c r="S333" s="1110"/>
      <c r="T333" s="1110"/>
      <c r="U333" s="1110"/>
      <c r="V333" s="1110"/>
      <c r="W333" s="1110"/>
      <c r="X333" s="1110"/>
      <c r="Y333" s="1110"/>
      <c r="Z333" s="1110"/>
      <c r="AA333" s="1106">
        <f t="shared" si="115"/>
        <v>0</v>
      </c>
      <c r="AB333" s="1113" t="e">
        <f t="shared" si="127"/>
        <v>#DIV/0!</v>
      </c>
      <c r="AC333" s="729"/>
    </row>
    <row r="334" spans="1:29" ht="22.5" hidden="1" customHeight="1" thickTop="1" thickBot="1" x14ac:dyDescent="0.3">
      <c r="A334" s="425">
        <v>1</v>
      </c>
      <c r="B334" s="505" t="s">
        <v>216</v>
      </c>
      <c r="C334" s="505" t="s">
        <v>227</v>
      </c>
      <c r="D334" s="505" t="s">
        <v>243</v>
      </c>
      <c r="E334" s="505" t="s">
        <v>231</v>
      </c>
      <c r="F334" s="505" t="s">
        <v>554</v>
      </c>
      <c r="G334" s="505"/>
      <c r="H334" s="505"/>
      <c r="I334" s="505"/>
      <c r="J334" s="505"/>
      <c r="K334" s="609" t="s">
        <v>555</v>
      </c>
      <c r="L334" s="1110"/>
      <c r="M334" s="1110"/>
      <c r="N334" s="1110"/>
      <c r="O334" s="1110">
        <f t="shared" si="126"/>
        <v>0</v>
      </c>
      <c r="P334" s="1110"/>
      <c r="Q334" s="1110"/>
      <c r="R334" s="1110"/>
      <c r="S334" s="1110"/>
      <c r="T334" s="1110"/>
      <c r="U334" s="1110"/>
      <c r="V334" s="1110"/>
      <c r="W334" s="1110"/>
      <c r="X334" s="1110"/>
      <c r="Y334" s="1110"/>
      <c r="Z334" s="1110"/>
      <c r="AA334" s="1106">
        <f t="shared" si="115"/>
        <v>0</v>
      </c>
      <c r="AB334" s="1113" t="e">
        <f t="shared" si="127"/>
        <v>#DIV/0!</v>
      </c>
      <c r="AC334" s="729"/>
    </row>
    <row r="335" spans="1:29" ht="22.5" hidden="1" customHeight="1" thickTop="1" thickBot="1" x14ac:dyDescent="0.3">
      <c r="A335" s="425">
        <v>1</v>
      </c>
      <c r="B335" s="505" t="s">
        <v>216</v>
      </c>
      <c r="C335" s="505" t="s">
        <v>227</v>
      </c>
      <c r="D335" s="505" t="s">
        <v>243</v>
      </c>
      <c r="E335" s="505" t="s">
        <v>231</v>
      </c>
      <c r="F335" s="505" t="s">
        <v>556</v>
      </c>
      <c r="G335" s="505"/>
      <c r="H335" s="505"/>
      <c r="I335" s="505"/>
      <c r="J335" s="505"/>
      <c r="K335" s="609" t="s">
        <v>557</v>
      </c>
      <c r="L335" s="1110"/>
      <c r="M335" s="1110"/>
      <c r="N335" s="1110"/>
      <c r="O335" s="1110">
        <f t="shared" si="126"/>
        <v>0</v>
      </c>
      <c r="P335" s="1110"/>
      <c r="Q335" s="1110"/>
      <c r="R335" s="1110"/>
      <c r="S335" s="1110"/>
      <c r="T335" s="1110"/>
      <c r="U335" s="1110"/>
      <c r="V335" s="1110"/>
      <c r="W335" s="1110"/>
      <c r="X335" s="1110"/>
      <c r="Y335" s="1110"/>
      <c r="Z335" s="1110"/>
      <c r="AA335" s="1106">
        <f t="shared" si="115"/>
        <v>0</v>
      </c>
      <c r="AB335" s="1113" t="e">
        <f t="shared" si="127"/>
        <v>#DIV/0!</v>
      </c>
      <c r="AC335" s="729"/>
    </row>
    <row r="336" spans="1:29" ht="22.5" hidden="1" customHeight="1" thickTop="1" thickBot="1" x14ac:dyDescent="0.3">
      <c r="A336" s="425">
        <v>1</v>
      </c>
      <c r="B336" s="505" t="s">
        <v>216</v>
      </c>
      <c r="C336" s="505" t="s">
        <v>227</v>
      </c>
      <c r="D336" s="505" t="s">
        <v>243</v>
      </c>
      <c r="E336" s="505" t="s">
        <v>231</v>
      </c>
      <c r="F336" s="505" t="s">
        <v>558</v>
      </c>
      <c r="G336" s="505"/>
      <c r="H336" s="505"/>
      <c r="I336" s="505"/>
      <c r="J336" s="505"/>
      <c r="K336" s="609" t="s">
        <v>559</v>
      </c>
      <c r="L336" s="1110"/>
      <c r="M336" s="1110"/>
      <c r="N336" s="1110"/>
      <c r="O336" s="1110">
        <f t="shared" si="126"/>
        <v>0</v>
      </c>
      <c r="P336" s="1110"/>
      <c r="Q336" s="1110"/>
      <c r="R336" s="1110"/>
      <c r="S336" s="1110"/>
      <c r="T336" s="1110"/>
      <c r="U336" s="1110"/>
      <c r="V336" s="1110"/>
      <c r="W336" s="1110"/>
      <c r="X336" s="1110"/>
      <c r="Y336" s="1110"/>
      <c r="Z336" s="1110"/>
      <c r="AA336" s="1106">
        <f t="shared" si="115"/>
        <v>0</v>
      </c>
      <c r="AB336" s="1113" t="e">
        <f t="shared" si="127"/>
        <v>#DIV/0!</v>
      </c>
      <c r="AC336" s="729"/>
    </row>
    <row r="337" spans="1:29" ht="22.5" hidden="1" customHeight="1" thickTop="1" thickBot="1" x14ac:dyDescent="0.3">
      <c r="A337" s="425">
        <v>1</v>
      </c>
      <c r="B337" s="505" t="s">
        <v>216</v>
      </c>
      <c r="C337" s="505" t="s">
        <v>227</v>
      </c>
      <c r="D337" s="505" t="s">
        <v>243</v>
      </c>
      <c r="E337" s="505" t="s">
        <v>231</v>
      </c>
      <c r="F337" s="505" t="s">
        <v>560</v>
      </c>
      <c r="G337" s="505"/>
      <c r="H337" s="505"/>
      <c r="I337" s="505"/>
      <c r="J337" s="505"/>
      <c r="K337" s="609" t="s">
        <v>561</v>
      </c>
      <c r="L337" s="1110"/>
      <c r="M337" s="1110"/>
      <c r="N337" s="1110"/>
      <c r="O337" s="1110">
        <f t="shared" si="126"/>
        <v>0</v>
      </c>
      <c r="P337" s="1110"/>
      <c r="Q337" s="1110"/>
      <c r="R337" s="1110"/>
      <c r="S337" s="1110"/>
      <c r="T337" s="1110"/>
      <c r="U337" s="1110"/>
      <c r="V337" s="1110"/>
      <c r="W337" s="1110"/>
      <c r="X337" s="1110"/>
      <c r="Y337" s="1110"/>
      <c r="Z337" s="1110"/>
      <c r="AA337" s="1106">
        <f t="shared" si="115"/>
        <v>0</v>
      </c>
      <c r="AB337" s="1113" t="e">
        <f t="shared" si="127"/>
        <v>#DIV/0!</v>
      </c>
      <c r="AC337" s="729"/>
    </row>
    <row r="338" spans="1:29" ht="22.5" hidden="1" customHeight="1" thickTop="1" thickBot="1" x14ac:dyDescent="0.3">
      <c r="A338" s="425">
        <v>1</v>
      </c>
      <c r="B338" s="505" t="s">
        <v>216</v>
      </c>
      <c r="C338" s="505" t="s">
        <v>227</v>
      </c>
      <c r="D338" s="505" t="s">
        <v>243</v>
      </c>
      <c r="E338" s="505" t="s">
        <v>231</v>
      </c>
      <c r="F338" s="505" t="s">
        <v>562</v>
      </c>
      <c r="G338" s="505"/>
      <c r="H338" s="505"/>
      <c r="I338" s="505"/>
      <c r="J338" s="505"/>
      <c r="K338" s="609" t="s">
        <v>563</v>
      </c>
      <c r="L338" s="1110"/>
      <c r="M338" s="1110"/>
      <c r="N338" s="1110"/>
      <c r="O338" s="1110">
        <f t="shared" si="126"/>
        <v>0</v>
      </c>
      <c r="P338" s="1110"/>
      <c r="Q338" s="1110"/>
      <c r="R338" s="1110"/>
      <c r="S338" s="1110"/>
      <c r="T338" s="1110"/>
      <c r="U338" s="1110"/>
      <c r="V338" s="1110"/>
      <c r="W338" s="1110"/>
      <c r="X338" s="1110"/>
      <c r="Y338" s="1110"/>
      <c r="Z338" s="1110"/>
      <c r="AA338" s="1106">
        <f t="shared" si="115"/>
        <v>0</v>
      </c>
      <c r="AB338" s="1113" t="e">
        <f t="shared" si="127"/>
        <v>#DIV/0!</v>
      </c>
      <c r="AC338" s="729"/>
    </row>
    <row r="339" spans="1:29" ht="22.5" hidden="1" customHeight="1" thickTop="1" thickBot="1" x14ac:dyDescent="0.3">
      <c r="A339" s="425">
        <v>1</v>
      </c>
      <c r="B339" s="505" t="s">
        <v>216</v>
      </c>
      <c r="C339" s="505" t="s">
        <v>227</v>
      </c>
      <c r="D339" s="505" t="s">
        <v>243</v>
      </c>
      <c r="E339" s="505" t="s">
        <v>231</v>
      </c>
      <c r="F339" s="505" t="s">
        <v>564</v>
      </c>
      <c r="G339" s="505"/>
      <c r="H339" s="505"/>
      <c r="I339" s="505"/>
      <c r="J339" s="505"/>
      <c r="K339" s="609" t="s">
        <v>565</v>
      </c>
      <c r="L339" s="1110"/>
      <c r="M339" s="1110"/>
      <c r="N339" s="1110"/>
      <c r="O339" s="1110">
        <f t="shared" si="126"/>
        <v>0</v>
      </c>
      <c r="P339" s="1110"/>
      <c r="Q339" s="1110"/>
      <c r="R339" s="1110"/>
      <c r="S339" s="1110"/>
      <c r="T339" s="1110"/>
      <c r="U339" s="1110"/>
      <c r="V339" s="1110"/>
      <c r="W339" s="1110"/>
      <c r="X339" s="1110"/>
      <c r="Y339" s="1110"/>
      <c r="Z339" s="1110"/>
      <c r="AA339" s="1106">
        <f t="shared" si="115"/>
        <v>0</v>
      </c>
      <c r="AB339" s="1113" t="e">
        <f t="shared" si="127"/>
        <v>#DIV/0!</v>
      </c>
      <c r="AC339" s="729"/>
    </row>
    <row r="340" spans="1:29" ht="22.5" hidden="1" customHeight="1" thickTop="1" thickBot="1" x14ac:dyDescent="0.3">
      <c r="A340" s="425">
        <v>1</v>
      </c>
      <c r="B340" s="505" t="s">
        <v>216</v>
      </c>
      <c r="C340" s="505" t="s">
        <v>227</v>
      </c>
      <c r="D340" s="505" t="s">
        <v>243</v>
      </c>
      <c r="E340" s="505" t="s">
        <v>231</v>
      </c>
      <c r="F340" s="505" t="s">
        <v>566</v>
      </c>
      <c r="G340" s="505"/>
      <c r="H340" s="505"/>
      <c r="I340" s="505"/>
      <c r="J340" s="505"/>
      <c r="K340" s="609" t="s">
        <v>567</v>
      </c>
      <c r="L340" s="1110"/>
      <c r="M340" s="1110"/>
      <c r="N340" s="1110"/>
      <c r="O340" s="1110">
        <f t="shared" si="126"/>
        <v>0</v>
      </c>
      <c r="P340" s="1110"/>
      <c r="Q340" s="1110"/>
      <c r="R340" s="1110"/>
      <c r="S340" s="1110"/>
      <c r="T340" s="1110"/>
      <c r="U340" s="1110"/>
      <c r="V340" s="1110"/>
      <c r="W340" s="1110"/>
      <c r="X340" s="1110"/>
      <c r="Y340" s="1110"/>
      <c r="Z340" s="1110"/>
      <c r="AA340" s="1106">
        <f t="shared" si="115"/>
        <v>0</v>
      </c>
      <c r="AB340" s="1113" t="e">
        <f t="shared" si="127"/>
        <v>#DIV/0!</v>
      </c>
      <c r="AC340" s="729"/>
    </row>
    <row r="341" spans="1:29" s="1097" customFormat="1" ht="22.5" hidden="1" customHeight="1" thickTop="1" thickBot="1" x14ac:dyDescent="0.3">
      <c r="A341" s="1091">
        <v>1</v>
      </c>
      <c r="B341" s="1092" t="s">
        <v>216</v>
      </c>
      <c r="C341" s="1092" t="s">
        <v>227</v>
      </c>
      <c r="D341" s="1092" t="s">
        <v>243</v>
      </c>
      <c r="E341" s="1092" t="s">
        <v>305</v>
      </c>
      <c r="F341" s="1092"/>
      <c r="G341" s="1092"/>
      <c r="H341" s="1092"/>
      <c r="I341" s="1092"/>
      <c r="J341" s="1092"/>
      <c r="K341" s="1093" t="s">
        <v>568</v>
      </c>
      <c r="L341" s="1094"/>
      <c r="M341" s="1094"/>
      <c r="N341" s="1094"/>
      <c r="O341" s="1094">
        <f t="shared" si="126"/>
        <v>0</v>
      </c>
      <c r="P341" s="1094"/>
      <c r="Q341" s="1094"/>
      <c r="R341" s="1094"/>
      <c r="S341" s="1094"/>
      <c r="T341" s="1094"/>
      <c r="U341" s="1094"/>
      <c r="V341" s="1094"/>
      <c r="W341" s="1094"/>
      <c r="X341" s="1094"/>
      <c r="Y341" s="1094"/>
      <c r="Z341" s="1094"/>
      <c r="AA341" s="1106">
        <f t="shared" si="115"/>
        <v>0</v>
      </c>
      <c r="AB341" s="1095" t="e">
        <f t="shared" si="127"/>
        <v>#DIV/0!</v>
      </c>
      <c r="AC341" s="1096"/>
    </row>
    <row r="342" spans="1:29" s="1097" customFormat="1" ht="22.5" hidden="1" customHeight="1" thickTop="1" thickBot="1" x14ac:dyDescent="0.3">
      <c r="A342" s="1091">
        <v>1</v>
      </c>
      <c r="B342" s="1092" t="s">
        <v>216</v>
      </c>
      <c r="C342" s="1092" t="s">
        <v>227</v>
      </c>
      <c r="D342" s="1092" t="s">
        <v>243</v>
      </c>
      <c r="E342" s="1092" t="s">
        <v>313</v>
      </c>
      <c r="F342" s="1092"/>
      <c r="G342" s="1092"/>
      <c r="H342" s="1092"/>
      <c r="I342" s="1092"/>
      <c r="J342" s="1092"/>
      <c r="K342" s="1093" t="s">
        <v>569</v>
      </c>
      <c r="L342" s="1094"/>
      <c r="M342" s="1094"/>
      <c r="N342" s="1094"/>
      <c r="O342" s="1094">
        <f t="shared" si="126"/>
        <v>0</v>
      </c>
      <c r="P342" s="1094"/>
      <c r="Q342" s="1094"/>
      <c r="R342" s="1094"/>
      <c r="S342" s="1094"/>
      <c r="T342" s="1094"/>
      <c r="U342" s="1094"/>
      <c r="V342" s="1094"/>
      <c r="W342" s="1094"/>
      <c r="X342" s="1094"/>
      <c r="Y342" s="1094"/>
      <c r="Z342" s="1094"/>
      <c r="AA342" s="1106">
        <f t="shared" si="115"/>
        <v>0</v>
      </c>
      <c r="AB342" s="1095" t="e">
        <f t="shared" si="127"/>
        <v>#DIV/0!</v>
      </c>
      <c r="AC342" s="1096"/>
    </row>
    <row r="343" spans="1:29" s="1097" customFormat="1" ht="22.5" hidden="1" customHeight="1" thickTop="1" thickBot="1" x14ac:dyDescent="0.3">
      <c r="A343" s="1091">
        <v>1</v>
      </c>
      <c r="B343" s="1092" t="s">
        <v>216</v>
      </c>
      <c r="C343" s="1092" t="s">
        <v>227</v>
      </c>
      <c r="D343" s="1092" t="s">
        <v>243</v>
      </c>
      <c r="E343" s="1092" t="s">
        <v>243</v>
      </c>
      <c r="F343" s="1092"/>
      <c r="G343" s="1092"/>
      <c r="H343" s="1092"/>
      <c r="I343" s="1092"/>
      <c r="J343" s="1092"/>
      <c r="K343" s="1093" t="s">
        <v>570</v>
      </c>
      <c r="L343" s="1094"/>
      <c r="M343" s="1094"/>
      <c r="N343" s="1094"/>
      <c r="O343" s="1094">
        <f t="shared" si="126"/>
        <v>0</v>
      </c>
      <c r="P343" s="1094"/>
      <c r="Q343" s="1094"/>
      <c r="R343" s="1094"/>
      <c r="S343" s="1094"/>
      <c r="T343" s="1094"/>
      <c r="U343" s="1094"/>
      <c r="V343" s="1094"/>
      <c r="W343" s="1094"/>
      <c r="X343" s="1094"/>
      <c r="Y343" s="1094"/>
      <c r="Z343" s="1094"/>
      <c r="AA343" s="1106">
        <f t="shared" si="115"/>
        <v>0</v>
      </c>
      <c r="AB343" s="1095" t="e">
        <f t="shared" si="127"/>
        <v>#DIV/0!</v>
      </c>
      <c r="AC343" s="1096"/>
    </row>
    <row r="344" spans="1:29" s="1097" customFormat="1" ht="22.5" hidden="1" customHeight="1" thickTop="1" thickBot="1" x14ac:dyDescent="0.3">
      <c r="A344" s="1091">
        <v>1</v>
      </c>
      <c r="B344" s="1092" t="s">
        <v>216</v>
      </c>
      <c r="C344" s="1092" t="s">
        <v>227</v>
      </c>
      <c r="D344" s="1092" t="s">
        <v>243</v>
      </c>
      <c r="E344" s="1092" t="s">
        <v>361</v>
      </c>
      <c r="F344" s="1092"/>
      <c r="G344" s="1092"/>
      <c r="H344" s="1092"/>
      <c r="I344" s="1092"/>
      <c r="J344" s="1092"/>
      <c r="K344" s="1093" t="s">
        <v>571</v>
      </c>
      <c r="L344" s="1094"/>
      <c r="M344" s="1094"/>
      <c r="N344" s="1094"/>
      <c r="O344" s="1094">
        <f t="shared" si="126"/>
        <v>0</v>
      </c>
      <c r="P344" s="1094"/>
      <c r="Q344" s="1094"/>
      <c r="R344" s="1094"/>
      <c r="S344" s="1094"/>
      <c r="T344" s="1094"/>
      <c r="U344" s="1094"/>
      <c r="V344" s="1094"/>
      <c r="W344" s="1094"/>
      <c r="X344" s="1094"/>
      <c r="Y344" s="1094"/>
      <c r="Z344" s="1094"/>
      <c r="AA344" s="1106">
        <f t="shared" si="115"/>
        <v>0</v>
      </c>
      <c r="AB344" s="1095" t="e">
        <f t="shared" si="127"/>
        <v>#DIV/0!</v>
      </c>
      <c r="AC344" s="1096"/>
    </row>
    <row r="345" spans="1:29" s="1090" customFormat="1" ht="22.5" hidden="1" customHeight="1" thickTop="1" thickBot="1" x14ac:dyDescent="0.3">
      <c r="A345" s="1086">
        <v>1</v>
      </c>
      <c r="B345" s="421" t="s">
        <v>216</v>
      </c>
      <c r="C345" s="421" t="s">
        <v>227</v>
      </c>
      <c r="D345" s="421" t="s">
        <v>361</v>
      </c>
      <c r="E345" s="421"/>
      <c r="F345" s="421"/>
      <c r="G345" s="421"/>
      <c r="H345" s="421"/>
      <c r="I345" s="421"/>
      <c r="J345" s="421"/>
      <c r="K345" s="1087" t="s">
        <v>572</v>
      </c>
      <c r="L345" s="1088">
        <f>+L346+L360+L362</f>
        <v>0</v>
      </c>
      <c r="M345" s="1088">
        <f t="shared" ref="M345:Z345" si="128">+M346+M360+M362</f>
        <v>0</v>
      </c>
      <c r="N345" s="1088">
        <f t="shared" si="128"/>
        <v>0</v>
      </c>
      <c r="O345" s="1088">
        <f t="shared" si="128"/>
        <v>0</v>
      </c>
      <c r="P345" s="1088">
        <f t="shared" si="128"/>
        <v>0</v>
      </c>
      <c r="Q345" s="1088"/>
      <c r="R345" s="1088">
        <f t="shared" si="128"/>
        <v>0</v>
      </c>
      <c r="S345" s="1088"/>
      <c r="T345" s="1088">
        <f t="shared" si="128"/>
        <v>0</v>
      </c>
      <c r="U345" s="1088"/>
      <c r="V345" s="1088">
        <f t="shared" si="128"/>
        <v>0</v>
      </c>
      <c r="W345" s="1088"/>
      <c r="X345" s="1088">
        <f t="shared" si="128"/>
        <v>0</v>
      </c>
      <c r="Y345" s="1088">
        <f t="shared" si="128"/>
        <v>0</v>
      </c>
      <c r="Z345" s="1088">
        <f t="shared" si="128"/>
        <v>0</v>
      </c>
      <c r="AA345" s="1106">
        <f t="shared" si="115"/>
        <v>0</v>
      </c>
      <c r="AB345" s="1089" t="e">
        <f t="shared" si="127"/>
        <v>#DIV/0!</v>
      </c>
      <c r="AC345" s="511"/>
    </row>
    <row r="346" spans="1:29" s="1097" customFormat="1" ht="22.5" hidden="1" customHeight="1" thickTop="1" thickBot="1" x14ac:dyDescent="0.3">
      <c r="A346" s="1091">
        <v>1</v>
      </c>
      <c r="B346" s="1092" t="s">
        <v>216</v>
      </c>
      <c r="C346" s="1092" t="s">
        <v>227</v>
      </c>
      <c r="D346" s="1092" t="s">
        <v>361</v>
      </c>
      <c r="E346" s="1092" t="s">
        <v>220</v>
      </c>
      <c r="F346" s="1092"/>
      <c r="G346" s="1092"/>
      <c r="H346" s="1092"/>
      <c r="I346" s="1092"/>
      <c r="J346" s="1092"/>
      <c r="K346" s="1093" t="s">
        <v>573</v>
      </c>
      <c r="L346" s="1094">
        <f>+L347+L348+L349+L352+L356</f>
        <v>0</v>
      </c>
      <c r="M346" s="1094">
        <f t="shared" ref="M346:Z346" si="129">+M347+M348+M349+M352+M356</f>
        <v>0</v>
      </c>
      <c r="N346" s="1094">
        <f t="shared" si="129"/>
        <v>0</v>
      </c>
      <c r="O346" s="1094">
        <f t="shared" si="129"/>
        <v>0</v>
      </c>
      <c r="P346" s="1094">
        <f t="shared" si="129"/>
        <v>0</v>
      </c>
      <c r="Q346" s="1094"/>
      <c r="R346" s="1094">
        <f t="shared" si="129"/>
        <v>0</v>
      </c>
      <c r="S346" s="1094"/>
      <c r="T346" s="1094">
        <f t="shared" si="129"/>
        <v>0</v>
      </c>
      <c r="U346" s="1094"/>
      <c r="V346" s="1094">
        <f t="shared" si="129"/>
        <v>0</v>
      </c>
      <c r="W346" s="1094"/>
      <c r="X346" s="1094">
        <f t="shared" si="129"/>
        <v>0</v>
      </c>
      <c r="Y346" s="1094">
        <f t="shared" si="129"/>
        <v>0</v>
      </c>
      <c r="Z346" s="1094">
        <f t="shared" si="129"/>
        <v>0</v>
      </c>
      <c r="AA346" s="1106">
        <f t="shared" ref="AA346:AA392" si="130">+Y346+Z346</f>
        <v>0</v>
      </c>
      <c r="AB346" s="1095" t="e">
        <f t="shared" si="127"/>
        <v>#DIV/0!</v>
      </c>
      <c r="AC346" s="1096"/>
    </row>
    <row r="347" spans="1:29" s="1062" customFormat="1" ht="2.25" hidden="1" customHeight="1" thickTop="1" thickBot="1" x14ac:dyDescent="0.3">
      <c r="A347" s="424">
        <v>1</v>
      </c>
      <c r="B347" s="519" t="s">
        <v>216</v>
      </c>
      <c r="C347" s="519" t="s">
        <v>227</v>
      </c>
      <c r="D347" s="519" t="s">
        <v>361</v>
      </c>
      <c r="E347" s="519" t="s">
        <v>220</v>
      </c>
      <c r="F347" s="519" t="s">
        <v>307</v>
      </c>
      <c r="G347" s="519"/>
      <c r="H347" s="519"/>
      <c r="I347" s="519"/>
      <c r="J347" s="519"/>
      <c r="K347" s="1105" t="s">
        <v>574</v>
      </c>
      <c r="L347" s="1106"/>
      <c r="M347" s="1106"/>
      <c r="N347" s="1106"/>
      <c r="O347" s="1106">
        <f>+L347+M347-N347</f>
        <v>0</v>
      </c>
      <c r="P347" s="1106"/>
      <c r="Q347" s="1106"/>
      <c r="R347" s="1106"/>
      <c r="S347" s="1106"/>
      <c r="T347" s="1106"/>
      <c r="U347" s="1106"/>
      <c r="V347" s="1106"/>
      <c r="W347" s="1106"/>
      <c r="X347" s="1106"/>
      <c r="Y347" s="1106"/>
      <c r="Z347" s="1106"/>
      <c r="AA347" s="1106">
        <f t="shared" si="130"/>
        <v>0</v>
      </c>
      <c r="AB347" s="1107" t="e">
        <f t="shared" si="127"/>
        <v>#DIV/0!</v>
      </c>
      <c r="AC347" s="522"/>
    </row>
    <row r="348" spans="1:29" s="1062" customFormat="1" ht="22.5" hidden="1" customHeight="1" thickTop="1" thickBot="1" x14ac:dyDescent="0.3">
      <c r="A348" s="424">
        <v>1</v>
      </c>
      <c r="B348" s="519" t="s">
        <v>216</v>
      </c>
      <c r="C348" s="519" t="s">
        <v>227</v>
      </c>
      <c r="D348" s="519" t="s">
        <v>361</v>
      </c>
      <c r="E348" s="519" t="s">
        <v>220</v>
      </c>
      <c r="F348" s="519" t="s">
        <v>332</v>
      </c>
      <c r="G348" s="519"/>
      <c r="H348" s="519"/>
      <c r="I348" s="519"/>
      <c r="J348" s="519"/>
      <c r="K348" s="1105" t="s">
        <v>575</v>
      </c>
      <c r="L348" s="1106"/>
      <c r="M348" s="1106"/>
      <c r="N348" s="1106"/>
      <c r="O348" s="1106">
        <f>+L348+M348-N348</f>
        <v>0</v>
      </c>
      <c r="P348" s="1106"/>
      <c r="Q348" s="1106"/>
      <c r="R348" s="1106"/>
      <c r="S348" s="1106"/>
      <c r="T348" s="1106"/>
      <c r="U348" s="1106"/>
      <c r="V348" s="1106"/>
      <c r="W348" s="1106"/>
      <c r="X348" s="1106"/>
      <c r="Y348" s="1106"/>
      <c r="Z348" s="1106"/>
      <c r="AA348" s="1106">
        <f t="shared" si="130"/>
        <v>0</v>
      </c>
      <c r="AB348" s="1107" t="e">
        <f t="shared" si="127"/>
        <v>#DIV/0!</v>
      </c>
      <c r="AC348" s="522"/>
    </row>
    <row r="349" spans="1:29" s="1062" customFormat="1" ht="22.5" hidden="1" customHeight="1" thickTop="1" thickBot="1" x14ac:dyDescent="0.3">
      <c r="A349" s="424">
        <v>1</v>
      </c>
      <c r="B349" s="519" t="s">
        <v>216</v>
      </c>
      <c r="C349" s="519" t="s">
        <v>227</v>
      </c>
      <c r="D349" s="519" t="s">
        <v>361</v>
      </c>
      <c r="E349" s="519" t="s">
        <v>220</v>
      </c>
      <c r="F349" s="519" t="s">
        <v>391</v>
      </c>
      <c r="G349" s="519"/>
      <c r="H349" s="519"/>
      <c r="I349" s="519"/>
      <c r="J349" s="519"/>
      <c r="K349" s="1105" t="s">
        <v>576</v>
      </c>
      <c r="L349" s="1106">
        <f>+L350+L351</f>
        <v>0</v>
      </c>
      <c r="M349" s="1106">
        <f t="shared" ref="M349:Z349" si="131">+M350+M351</f>
        <v>0</v>
      </c>
      <c r="N349" s="1106">
        <f t="shared" si="131"/>
        <v>0</v>
      </c>
      <c r="O349" s="1106">
        <f t="shared" si="131"/>
        <v>0</v>
      </c>
      <c r="P349" s="1106">
        <f t="shared" si="131"/>
        <v>0</v>
      </c>
      <c r="Q349" s="1106"/>
      <c r="R349" s="1106">
        <f t="shared" si="131"/>
        <v>0</v>
      </c>
      <c r="S349" s="1106"/>
      <c r="T349" s="1106">
        <f t="shared" si="131"/>
        <v>0</v>
      </c>
      <c r="U349" s="1106"/>
      <c r="V349" s="1106">
        <f t="shared" si="131"/>
        <v>0</v>
      </c>
      <c r="W349" s="1106"/>
      <c r="X349" s="1106">
        <f t="shared" si="131"/>
        <v>0</v>
      </c>
      <c r="Y349" s="1106">
        <f t="shared" si="131"/>
        <v>0</v>
      </c>
      <c r="Z349" s="1106">
        <f t="shared" si="131"/>
        <v>0</v>
      </c>
      <c r="AA349" s="1106">
        <f t="shared" si="130"/>
        <v>0</v>
      </c>
      <c r="AB349" s="1107" t="e">
        <f t="shared" si="127"/>
        <v>#DIV/0!</v>
      </c>
      <c r="AC349" s="522"/>
    </row>
    <row r="350" spans="1:29" ht="22.5" hidden="1" customHeight="1" thickTop="1" thickBot="1" x14ac:dyDescent="0.3">
      <c r="A350" s="425">
        <v>1</v>
      </c>
      <c r="B350" s="505" t="s">
        <v>216</v>
      </c>
      <c r="C350" s="505" t="s">
        <v>227</v>
      </c>
      <c r="D350" s="505" t="s">
        <v>361</v>
      </c>
      <c r="E350" s="505" t="s">
        <v>220</v>
      </c>
      <c r="F350" s="505" t="s">
        <v>391</v>
      </c>
      <c r="G350" s="505" t="s">
        <v>220</v>
      </c>
      <c r="H350" s="505"/>
      <c r="I350" s="505"/>
      <c r="J350" s="505"/>
      <c r="K350" s="609" t="s">
        <v>577</v>
      </c>
      <c r="L350" s="1110"/>
      <c r="M350" s="1110"/>
      <c r="N350" s="1110"/>
      <c r="O350" s="1110">
        <f>+L350+M350-N350</f>
        <v>0</v>
      </c>
      <c r="P350" s="1110"/>
      <c r="Q350" s="1110"/>
      <c r="R350" s="1110"/>
      <c r="S350" s="1110"/>
      <c r="T350" s="1110"/>
      <c r="U350" s="1110"/>
      <c r="V350" s="1110"/>
      <c r="W350" s="1110"/>
      <c r="X350" s="1110"/>
      <c r="Y350" s="1110"/>
      <c r="Z350" s="1110"/>
      <c r="AA350" s="1106">
        <f t="shared" si="130"/>
        <v>0</v>
      </c>
      <c r="AB350" s="1113" t="e">
        <f t="shared" si="127"/>
        <v>#DIV/0!</v>
      </c>
      <c r="AC350" s="729"/>
    </row>
    <row r="351" spans="1:29" ht="22.5" hidden="1" customHeight="1" thickTop="1" thickBot="1" x14ac:dyDescent="0.3">
      <c r="A351" s="425">
        <v>1</v>
      </c>
      <c r="B351" s="505" t="s">
        <v>216</v>
      </c>
      <c r="C351" s="505" t="s">
        <v>227</v>
      </c>
      <c r="D351" s="505" t="s">
        <v>361</v>
      </c>
      <c r="E351" s="505" t="s">
        <v>220</v>
      </c>
      <c r="F351" s="505" t="s">
        <v>391</v>
      </c>
      <c r="G351" s="505" t="s">
        <v>231</v>
      </c>
      <c r="H351" s="505"/>
      <c r="I351" s="505"/>
      <c r="J351" s="505"/>
      <c r="K351" s="609" t="s">
        <v>576</v>
      </c>
      <c r="L351" s="1110"/>
      <c r="M351" s="1110"/>
      <c r="N351" s="1110"/>
      <c r="O351" s="1110">
        <f>+L351+M351-N351</f>
        <v>0</v>
      </c>
      <c r="P351" s="1110"/>
      <c r="Q351" s="1110"/>
      <c r="R351" s="1110"/>
      <c r="S351" s="1110"/>
      <c r="T351" s="1110"/>
      <c r="U351" s="1110"/>
      <c r="V351" s="1110"/>
      <c r="W351" s="1110"/>
      <c r="X351" s="1110"/>
      <c r="Y351" s="1110"/>
      <c r="Z351" s="1110"/>
      <c r="AA351" s="1106">
        <f t="shared" si="130"/>
        <v>0</v>
      </c>
      <c r="AB351" s="1113" t="e">
        <f t="shared" si="127"/>
        <v>#DIV/0!</v>
      </c>
      <c r="AC351" s="729"/>
    </row>
    <row r="352" spans="1:29" s="1062" customFormat="1" ht="22.5" hidden="1" customHeight="1" thickTop="1" thickBot="1" x14ac:dyDescent="0.3">
      <c r="A352" s="424">
        <v>1</v>
      </c>
      <c r="B352" s="519" t="s">
        <v>216</v>
      </c>
      <c r="C352" s="519" t="s">
        <v>227</v>
      </c>
      <c r="D352" s="519" t="s">
        <v>361</v>
      </c>
      <c r="E352" s="519" t="s">
        <v>220</v>
      </c>
      <c r="F352" s="519" t="s">
        <v>451</v>
      </c>
      <c r="G352" s="519"/>
      <c r="H352" s="519"/>
      <c r="I352" s="519"/>
      <c r="J352" s="519"/>
      <c r="K352" s="1105" t="s">
        <v>578</v>
      </c>
      <c r="L352" s="1106">
        <f>+L353+L354+L355</f>
        <v>0</v>
      </c>
      <c r="M352" s="1106">
        <f t="shared" ref="M352:Z352" si="132">+M353+M354+M355</f>
        <v>0</v>
      </c>
      <c r="N352" s="1106">
        <f t="shared" si="132"/>
        <v>0</v>
      </c>
      <c r="O352" s="1106">
        <f t="shared" si="132"/>
        <v>0</v>
      </c>
      <c r="P352" s="1106">
        <f t="shared" si="132"/>
        <v>0</v>
      </c>
      <c r="Q352" s="1106"/>
      <c r="R352" s="1106">
        <f t="shared" si="132"/>
        <v>0</v>
      </c>
      <c r="S352" s="1106"/>
      <c r="T352" s="1106">
        <f t="shared" si="132"/>
        <v>0</v>
      </c>
      <c r="U352" s="1106"/>
      <c r="V352" s="1106">
        <f t="shared" si="132"/>
        <v>0</v>
      </c>
      <c r="W352" s="1106"/>
      <c r="X352" s="1106">
        <f t="shared" si="132"/>
        <v>0</v>
      </c>
      <c r="Y352" s="1106">
        <f t="shared" si="132"/>
        <v>0</v>
      </c>
      <c r="Z352" s="1106">
        <f t="shared" si="132"/>
        <v>0</v>
      </c>
      <c r="AA352" s="1106">
        <f t="shared" si="130"/>
        <v>0</v>
      </c>
      <c r="AB352" s="1107" t="e">
        <f t="shared" si="127"/>
        <v>#DIV/0!</v>
      </c>
      <c r="AC352" s="522"/>
    </row>
    <row r="353" spans="1:29" ht="22.5" hidden="1" customHeight="1" thickTop="1" thickBot="1" x14ac:dyDescent="0.3">
      <c r="A353" s="425">
        <v>1</v>
      </c>
      <c r="B353" s="505" t="s">
        <v>216</v>
      </c>
      <c r="C353" s="505" t="s">
        <v>227</v>
      </c>
      <c r="D353" s="505" t="s">
        <v>361</v>
      </c>
      <c r="E353" s="505" t="s">
        <v>220</v>
      </c>
      <c r="F353" s="505" t="s">
        <v>451</v>
      </c>
      <c r="G353" s="505" t="s">
        <v>220</v>
      </c>
      <c r="H353" s="505"/>
      <c r="I353" s="505"/>
      <c r="J353" s="505"/>
      <c r="K353" s="609" t="s">
        <v>579</v>
      </c>
      <c r="L353" s="1110"/>
      <c r="M353" s="1110"/>
      <c r="N353" s="1110"/>
      <c r="O353" s="1110">
        <f>+L353+M353-N353</f>
        <v>0</v>
      </c>
      <c r="P353" s="1110"/>
      <c r="Q353" s="1110"/>
      <c r="R353" s="1110"/>
      <c r="S353" s="1110"/>
      <c r="T353" s="1110"/>
      <c r="U353" s="1110"/>
      <c r="V353" s="1110"/>
      <c r="W353" s="1110"/>
      <c r="X353" s="1110"/>
      <c r="Y353" s="1110"/>
      <c r="Z353" s="1110"/>
      <c r="AA353" s="1106">
        <f t="shared" si="130"/>
        <v>0</v>
      </c>
      <c r="AB353" s="1113" t="e">
        <f t="shared" si="127"/>
        <v>#DIV/0!</v>
      </c>
      <c r="AC353" s="729"/>
    </row>
    <row r="354" spans="1:29" ht="22.5" hidden="1" customHeight="1" thickTop="1" thickBot="1" x14ac:dyDescent="0.3">
      <c r="A354" s="425">
        <v>1</v>
      </c>
      <c r="B354" s="505" t="s">
        <v>216</v>
      </c>
      <c r="C354" s="505" t="s">
        <v>227</v>
      </c>
      <c r="D354" s="505" t="s">
        <v>361</v>
      </c>
      <c r="E354" s="505" t="s">
        <v>220</v>
      </c>
      <c r="F354" s="505" t="s">
        <v>451</v>
      </c>
      <c r="G354" s="505" t="s">
        <v>231</v>
      </c>
      <c r="H354" s="505"/>
      <c r="I354" s="505"/>
      <c r="J354" s="505"/>
      <c r="K354" s="609" t="s">
        <v>580</v>
      </c>
      <c r="L354" s="1110"/>
      <c r="M354" s="1110"/>
      <c r="N354" s="1110"/>
      <c r="O354" s="1110">
        <f>+L354+M354-N354</f>
        <v>0</v>
      </c>
      <c r="P354" s="1110"/>
      <c r="Q354" s="1110"/>
      <c r="R354" s="1110"/>
      <c r="S354" s="1110"/>
      <c r="T354" s="1110"/>
      <c r="U354" s="1110"/>
      <c r="V354" s="1110"/>
      <c r="W354" s="1110"/>
      <c r="X354" s="1110"/>
      <c r="Y354" s="1110"/>
      <c r="Z354" s="1110"/>
      <c r="AA354" s="1106">
        <f t="shared" si="130"/>
        <v>0</v>
      </c>
      <c r="AB354" s="1113" t="e">
        <f t="shared" si="127"/>
        <v>#DIV/0!</v>
      </c>
      <c r="AC354" s="729"/>
    </row>
    <row r="355" spans="1:29" ht="22.5" hidden="1" customHeight="1" thickTop="1" thickBot="1" x14ac:dyDescent="0.3">
      <c r="A355" s="425">
        <v>1</v>
      </c>
      <c r="B355" s="505" t="s">
        <v>216</v>
      </c>
      <c r="C355" s="505" t="s">
        <v>227</v>
      </c>
      <c r="D355" s="505" t="s">
        <v>361</v>
      </c>
      <c r="E355" s="505" t="s">
        <v>220</v>
      </c>
      <c r="F355" s="505" t="s">
        <v>451</v>
      </c>
      <c r="G355" s="505" t="s">
        <v>305</v>
      </c>
      <c r="H355" s="505"/>
      <c r="I355" s="505"/>
      <c r="J355" s="505"/>
      <c r="K355" s="609" t="s">
        <v>581</v>
      </c>
      <c r="L355" s="1110"/>
      <c r="M355" s="1110"/>
      <c r="N355" s="1110"/>
      <c r="O355" s="1110">
        <f>+L355+M355-N355</f>
        <v>0</v>
      </c>
      <c r="P355" s="1110"/>
      <c r="Q355" s="1110"/>
      <c r="R355" s="1110"/>
      <c r="S355" s="1110"/>
      <c r="T355" s="1110"/>
      <c r="U355" s="1110"/>
      <c r="V355" s="1110"/>
      <c r="W355" s="1110"/>
      <c r="X355" s="1110"/>
      <c r="Y355" s="1110"/>
      <c r="Z355" s="1110"/>
      <c r="AA355" s="1106">
        <f t="shared" si="130"/>
        <v>0</v>
      </c>
      <c r="AB355" s="1113" t="e">
        <f t="shared" si="127"/>
        <v>#DIV/0!</v>
      </c>
      <c r="AC355" s="729"/>
    </row>
    <row r="356" spans="1:29" s="1062" customFormat="1" ht="22.5" hidden="1" customHeight="1" thickTop="1" thickBot="1" x14ac:dyDescent="0.3">
      <c r="A356" s="424">
        <v>1</v>
      </c>
      <c r="B356" s="519" t="s">
        <v>216</v>
      </c>
      <c r="C356" s="519" t="s">
        <v>227</v>
      </c>
      <c r="D356" s="519" t="s">
        <v>361</v>
      </c>
      <c r="E356" s="519" t="s">
        <v>220</v>
      </c>
      <c r="F356" s="519" t="s">
        <v>582</v>
      </c>
      <c r="G356" s="519"/>
      <c r="H356" s="519"/>
      <c r="I356" s="519"/>
      <c r="J356" s="519"/>
      <c r="K356" s="1105" t="s">
        <v>583</v>
      </c>
      <c r="L356" s="1106">
        <f>+L357+L358+L359</f>
        <v>0</v>
      </c>
      <c r="M356" s="1106">
        <f t="shared" ref="M356:Z356" si="133">+M357+M358+M359</f>
        <v>0</v>
      </c>
      <c r="N356" s="1106">
        <f t="shared" si="133"/>
        <v>0</v>
      </c>
      <c r="O356" s="1106">
        <f t="shared" si="133"/>
        <v>0</v>
      </c>
      <c r="P356" s="1106">
        <f t="shared" si="133"/>
        <v>0</v>
      </c>
      <c r="Q356" s="1106"/>
      <c r="R356" s="1106">
        <f t="shared" si="133"/>
        <v>0</v>
      </c>
      <c r="S356" s="1106"/>
      <c r="T356" s="1106">
        <f t="shared" si="133"/>
        <v>0</v>
      </c>
      <c r="U356" s="1106"/>
      <c r="V356" s="1106">
        <f t="shared" si="133"/>
        <v>0</v>
      </c>
      <c r="W356" s="1106"/>
      <c r="X356" s="1106">
        <f t="shared" si="133"/>
        <v>0</v>
      </c>
      <c r="Y356" s="1106">
        <f t="shared" si="133"/>
        <v>0</v>
      </c>
      <c r="Z356" s="1106">
        <f t="shared" si="133"/>
        <v>0</v>
      </c>
      <c r="AA356" s="1106">
        <f t="shared" si="130"/>
        <v>0</v>
      </c>
      <c r="AB356" s="1107" t="e">
        <f t="shared" si="127"/>
        <v>#DIV/0!</v>
      </c>
      <c r="AC356" s="522"/>
    </row>
    <row r="357" spans="1:29" ht="22.5" hidden="1" customHeight="1" thickTop="1" thickBot="1" x14ac:dyDescent="0.3">
      <c r="A357" s="425">
        <v>1</v>
      </c>
      <c r="B357" s="505" t="s">
        <v>216</v>
      </c>
      <c r="C357" s="505" t="s">
        <v>227</v>
      </c>
      <c r="D357" s="505" t="s">
        <v>361</v>
      </c>
      <c r="E357" s="505" t="s">
        <v>220</v>
      </c>
      <c r="F357" s="505" t="s">
        <v>582</v>
      </c>
      <c r="G357" s="505" t="s">
        <v>220</v>
      </c>
      <c r="H357" s="505"/>
      <c r="I357" s="505"/>
      <c r="J357" s="505"/>
      <c r="K357" s="609" t="s">
        <v>584</v>
      </c>
      <c r="L357" s="1110"/>
      <c r="M357" s="1110"/>
      <c r="N357" s="1110"/>
      <c r="O357" s="1110">
        <f>+L357+M357-N357</f>
        <v>0</v>
      </c>
      <c r="P357" s="1110"/>
      <c r="Q357" s="1110"/>
      <c r="R357" s="1110"/>
      <c r="S357" s="1110"/>
      <c r="T357" s="1110"/>
      <c r="U357" s="1110"/>
      <c r="V357" s="1110"/>
      <c r="W357" s="1110"/>
      <c r="X357" s="1110"/>
      <c r="Y357" s="1110"/>
      <c r="Z357" s="1110"/>
      <c r="AA357" s="1106">
        <f t="shared" si="130"/>
        <v>0</v>
      </c>
      <c r="AB357" s="1113" t="e">
        <f t="shared" si="127"/>
        <v>#DIV/0!</v>
      </c>
      <c r="AC357" s="729"/>
    </row>
    <row r="358" spans="1:29" ht="22.5" hidden="1" customHeight="1" thickTop="1" thickBot="1" x14ac:dyDescent="0.3">
      <c r="A358" s="425">
        <v>1</v>
      </c>
      <c r="B358" s="505" t="s">
        <v>216</v>
      </c>
      <c r="C358" s="505" t="s">
        <v>227</v>
      </c>
      <c r="D358" s="505" t="s">
        <v>361</v>
      </c>
      <c r="E358" s="505" t="s">
        <v>220</v>
      </c>
      <c r="F358" s="505" t="s">
        <v>582</v>
      </c>
      <c r="G358" s="505" t="s">
        <v>231</v>
      </c>
      <c r="H358" s="505"/>
      <c r="I358" s="505"/>
      <c r="J358" s="505"/>
      <c r="K358" s="609" t="s">
        <v>585</v>
      </c>
      <c r="L358" s="1110"/>
      <c r="M358" s="1110"/>
      <c r="N358" s="1110"/>
      <c r="O358" s="1110">
        <f>+L358+M358-N358</f>
        <v>0</v>
      </c>
      <c r="P358" s="1110"/>
      <c r="Q358" s="1110"/>
      <c r="R358" s="1110"/>
      <c r="S358" s="1110"/>
      <c r="T358" s="1110"/>
      <c r="U358" s="1110"/>
      <c r="V358" s="1110"/>
      <c r="W358" s="1110"/>
      <c r="X358" s="1110"/>
      <c r="Y358" s="1110"/>
      <c r="Z358" s="1110"/>
      <c r="AA358" s="1106">
        <f t="shared" si="130"/>
        <v>0</v>
      </c>
      <c r="AB358" s="1113" t="e">
        <f t="shared" si="127"/>
        <v>#DIV/0!</v>
      </c>
      <c r="AC358" s="729"/>
    </row>
    <row r="359" spans="1:29" ht="22.5" hidden="1" customHeight="1" thickTop="1" thickBot="1" x14ac:dyDescent="0.3">
      <c r="A359" s="425">
        <v>1</v>
      </c>
      <c r="B359" s="505" t="s">
        <v>216</v>
      </c>
      <c r="C359" s="505" t="s">
        <v>227</v>
      </c>
      <c r="D359" s="505" t="s">
        <v>361</v>
      </c>
      <c r="E359" s="505" t="s">
        <v>220</v>
      </c>
      <c r="F359" s="505" t="s">
        <v>582</v>
      </c>
      <c r="G359" s="505" t="s">
        <v>305</v>
      </c>
      <c r="H359" s="505"/>
      <c r="I359" s="505"/>
      <c r="J359" s="505"/>
      <c r="K359" s="609" t="s">
        <v>586</v>
      </c>
      <c r="L359" s="1110"/>
      <c r="M359" s="1110"/>
      <c r="N359" s="1110"/>
      <c r="O359" s="1110">
        <f>+L359+M359-N359</f>
        <v>0</v>
      </c>
      <c r="P359" s="1110"/>
      <c r="Q359" s="1110"/>
      <c r="R359" s="1110"/>
      <c r="S359" s="1110"/>
      <c r="T359" s="1110"/>
      <c r="U359" s="1110"/>
      <c r="V359" s="1110"/>
      <c r="W359" s="1110"/>
      <c r="X359" s="1110"/>
      <c r="Y359" s="1110"/>
      <c r="Z359" s="1110"/>
      <c r="AA359" s="1106">
        <f t="shared" si="130"/>
        <v>0</v>
      </c>
      <c r="AB359" s="1113" t="e">
        <f t="shared" si="127"/>
        <v>#DIV/0!</v>
      </c>
      <c r="AC359" s="729"/>
    </row>
    <row r="360" spans="1:29" s="1097" customFormat="1" ht="22.5" hidden="1" customHeight="1" thickTop="1" thickBot="1" x14ac:dyDescent="0.3">
      <c r="A360" s="1091">
        <v>1</v>
      </c>
      <c r="B360" s="1092" t="s">
        <v>216</v>
      </c>
      <c r="C360" s="1092" t="s">
        <v>227</v>
      </c>
      <c r="D360" s="1092" t="s">
        <v>361</v>
      </c>
      <c r="E360" s="1092" t="s">
        <v>231</v>
      </c>
      <c r="F360" s="1092"/>
      <c r="G360" s="1092"/>
      <c r="H360" s="1092"/>
      <c r="I360" s="1092"/>
      <c r="J360" s="1092"/>
      <c r="K360" s="1093" t="s">
        <v>587</v>
      </c>
      <c r="L360" s="1094">
        <f>+L361</f>
        <v>0</v>
      </c>
      <c r="M360" s="1094">
        <f t="shared" ref="M360:Z360" si="134">+M361</f>
        <v>0</v>
      </c>
      <c r="N360" s="1094">
        <f t="shared" si="134"/>
        <v>0</v>
      </c>
      <c r="O360" s="1094">
        <f t="shared" si="134"/>
        <v>0</v>
      </c>
      <c r="P360" s="1094">
        <f t="shared" si="134"/>
        <v>0</v>
      </c>
      <c r="Q360" s="1094"/>
      <c r="R360" s="1094">
        <f t="shared" si="134"/>
        <v>0</v>
      </c>
      <c r="S360" s="1094"/>
      <c r="T360" s="1094">
        <f t="shared" si="134"/>
        <v>0</v>
      </c>
      <c r="U360" s="1094"/>
      <c r="V360" s="1094">
        <f t="shared" si="134"/>
        <v>0</v>
      </c>
      <c r="W360" s="1094"/>
      <c r="X360" s="1094">
        <f t="shared" si="134"/>
        <v>0</v>
      </c>
      <c r="Y360" s="1094">
        <f t="shared" si="134"/>
        <v>0</v>
      </c>
      <c r="Z360" s="1094">
        <f t="shared" si="134"/>
        <v>0</v>
      </c>
      <c r="AA360" s="1106">
        <f t="shared" si="130"/>
        <v>0</v>
      </c>
      <c r="AB360" s="1095" t="e">
        <f t="shared" si="127"/>
        <v>#DIV/0!</v>
      </c>
      <c r="AC360" s="1096"/>
    </row>
    <row r="361" spans="1:29" s="1062" customFormat="1" ht="22.5" hidden="1" customHeight="1" thickTop="1" thickBot="1" x14ac:dyDescent="0.3">
      <c r="A361" s="424">
        <v>1</v>
      </c>
      <c r="B361" s="519" t="s">
        <v>216</v>
      </c>
      <c r="C361" s="519" t="s">
        <v>227</v>
      </c>
      <c r="D361" s="519" t="s">
        <v>361</v>
      </c>
      <c r="E361" s="519" t="s">
        <v>231</v>
      </c>
      <c r="F361" s="519" t="s">
        <v>307</v>
      </c>
      <c r="G361" s="519"/>
      <c r="H361" s="519"/>
      <c r="I361" s="519"/>
      <c r="J361" s="519"/>
      <c r="K361" s="1105" t="s">
        <v>588</v>
      </c>
      <c r="L361" s="1106"/>
      <c r="M361" s="1106"/>
      <c r="N361" s="1106"/>
      <c r="O361" s="1106">
        <f>+L361+M361-N361</f>
        <v>0</v>
      </c>
      <c r="P361" s="1106"/>
      <c r="Q361" s="1106"/>
      <c r="R361" s="1106"/>
      <c r="S361" s="1106"/>
      <c r="T361" s="1106"/>
      <c r="U361" s="1106"/>
      <c r="V361" s="1106"/>
      <c r="W361" s="1106"/>
      <c r="X361" s="1106"/>
      <c r="Y361" s="1106"/>
      <c r="Z361" s="1106"/>
      <c r="AA361" s="1106">
        <f t="shared" si="130"/>
        <v>0</v>
      </c>
      <c r="AB361" s="1107" t="e">
        <f t="shared" si="127"/>
        <v>#DIV/0!</v>
      </c>
      <c r="AC361" s="522"/>
    </row>
    <row r="362" spans="1:29" s="1097" customFormat="1" ht="22.5" hidden="1" customHeight="1" thickTop="1" thickBot="1" x14ac:dyDescent="0.3">
      <c r="A362" s="1091">
        <v>1</v>
      </c>
      <c r="B362" s="1092" t="s">
        <v>216</v>
      </c>
      <c r="C362" s="1092" t="s">
        <v>227</v>
      </c>
      <c r="D362" s="1092" t="s">
        <v>361</v>
      </c>
      <c r="E362" s="1092" t="s">
        <v>305</v>
      </c>
      <c r="F362" s="1092"/>
      <c r="G362" s="1092"/>
      <c r="H362" s="1092"/>
      <c r="I362" s="1092"/>
      <c r="J362" s="1092"/>
      <c r="K362" s="1093" t="s">
        <v>589</v>
      </c>
      <c r="L362" s="1094"/>
      <c r="M362" s="1094"/>
      <c r="N362" s="1094"/>
      <c r="O362" s="1094">
        <f>+L362+M362-N362</f>
        <v>0</v>
      </c>
      <c r="P362" s="1094"/>
      <c r="Q362" s="1094"/>
      <c r="R362" s="1094"/>
      <c r="S362" s="1094"/>
      <c r="T362" s="1094"/>
      <c r="U362" s="1094"/>
      <c r="V362" s="1094"/>
      <c r="W362" s="1094"/>
      <c r="X362" s="1094"/>
      <c r="Y362" s="1094"/>
      <c r="Z362" s="1094"/>
      <c r="AA362" s="1106">
        <f t="shared" si="130"/>
        <v>0</v>
      </c>
      <c r="AB362" s="1095" t="e">
        <f t="shared" si="127"/>
        <v>#DIV/0!</v>
      </c>
      <c r="AC362" s="1096"/>
    </row>
    <row r="363" spans="1:29" s="1090" customFormat="1" ht="22.5" hidden="1" customHeight="1" thickTop="1" thickBot="1" x14ac:dyDescent="0.3">
      <c r="A363" s="1086">
        <v>1</v>
      </c>
      <c r="B363" s="421" t="s">
        <v>216</v>
      </c>
      <c r="C363" s="421" t="s">
        <v>227</v>
      </c>
      <c r="D363" s="421" t="s">
        <v>366</v>
      </c>
      <c r="E363" s="421"/>
      <c r="F363" s="421"/>
      <c r="G363" s="421"/>
      <c r="H363" s="421"/>
      <c r="I363" s="421"/>
      <c r="J363" s="421"/>
      <c r="K363" s="1087" t="s">
        <v>590</v>
      </c>
      <c r="L363" s="1088" t="s">
        <v>849</v>
      </c>
      <c r="M363" s="1088">
        <f t="shared" ref="M363:Z363" si="135">+M364+M370+M377</f>
        <v>0</v>
      </c>
      <c r="N363" s="1088">
        <f t="shared" si="135"/>
        <v>0</v>
      </c>
      <c r="O363" s="1088">
        <f t="shared" si="135"/>
        <v>0</v>
      </c>
      <c r="P363" s="1088">
        <f t="shared" si="135"/>
        <v>0</v>
      </c>
      <c r="Q363" s="1088"/>
      <c r="R363" s="1088">
        <f t="shared" si="135"/>
        <v>0</v>
      </c>
      <c r="S363" s="1088"/>
      <c r="T363" s="1088">
        <f t="shared" si="135"/>
        <v>0</v>
      </c>
      <c r="U363" s="1088"/>
      <c r="V363" s="1088">
        <f t="shared" si="135"/>
        <v>0</v>
      </c>
      <c r="W363" s="1088"/>
      <c r="X363" s="1088">
        <f t="shared" si="135"/>
        <v>0</v>
      </c>
      <c r="Y363" s="1088">
        <f t="shared" si="135"/>
        <v>0</v>
      </c>
      <c r="Z363" s="1088">
        <f t="shared" si="135"/>
        <v>0</v>
      </c>
      <c r="AA363" s="1106">
        <f t="shared" si="130"/>
        <v>0</v>
      </c>
      <c r="AB363" s="1089" t="e">
        <f t="shared" si="127"/>
        <v>#DIV/0!</v>
      </c>
      <c r="AC363" s="511"/>
    </row>
    <row r="364" spans="1:29" s="1097" customFormat="1" ht="22.5" hidden="1" customHeight="1" thickTop="1" thickBot="1" x14ac:dyDescent="0.3">
      <c r="A364" s="1091">
        <v>1</v>
      </c>
      <c r="B364" s="1092" t="s">
        <v>216</v>
      </c>
      <c r="C364" s="1092" t="s">
        <v>227</v>
      </c>
      <c r="D364" s="1092" t="s">
        <v>366</v>
      </c>
      <c r="E364" s="1092" t="s">
        <v>220</v>
      </c>
      <c r="F364" s="1092"/>
      <c r="G364" s="1092"/>
      <c r="H364" s="1092"/>
      <c r="I364" s="1092"/>
      <c r="J364" s="1092"/>
      <c r="K364" s="1093" t="s">
        <v>591</v>
      </c>
      <c r="L364" s="1094">
        <f>+L365+L366+L367+L368+L369</f>
        <v>0</v>
      </c>
      <c r="M364" s="1094">
        <f t="shared" ref="M364:Z364" si="136">+M365+M366+M367+M368+M369</f>
        <v>0</v>
      </c>
      <c r="N364" s="1094">
        <f t="shared" si="136"/>
        <v>0</v>
      </c>
      <c r="O364" s="1094">
        <f t="shared" si="136"/>
        <v>0</v>
      </c>
      <c r="P364" s="1094">
        <f t="shared" si="136"/>
        <v>0</v>
      </c>
      <c r="Q364" s="1094"/>
      <c r="R364" s="1094">
        <f t="shared" si="136"/>
        <v>0</v>
      </c>
      <c r="S364" s="1094"/>
      <c r="T364" s="1094">
        <f t="shared" si="136"/>
        <v>0</v>
      </c>
      <c r="U364" s="1094"/>
      <c r="V364" s="1094">
        <f t="shared" si="136"/>
        <v>0</v>
      </c>
      <c r="W364" s="1094"/>
      <c r="X364" s="1094">
        <f t="shared" si="136"/>
        <v>0</v>
      </c>
      <c r="Y364" s="1094">
        <f t="shared" si="136"/>
        <v>0</v>
      </c>
      <c r="Z364" s="1094">
        <f t="shared" si="136"/>
        <v>0</v>
      </c>
      <c r="AA364" s="1106">
        <f t="shared" si="130"/>
        <v>0</v>
      </c>
      <c r="AB364" s="1095" t="e">
        <f t="shared" si="127"/>
        <v>#DIV/0!</v>
      </c>
      <c r="AC364" s="1096"/>
    </row>
    <row r="365" spans="1:29" ht="22.5" hidden="1" customHeight="1" thickTop="1" thickBot="1" x14ac:dyDescent="0.3">
      <c r="A365" s="425">
        <v>1</v>
      </c>
      <c r="B365" s="505" t="s">
        <v>216</v>
      </c>
      <c r="C365" s="505" t="s">
        <v>227</v>
      </c>
      <c r="D365" s="505" t="s">
        <v>366</v>
      </c>
      <c r="E365" s="505" t="s">
        <v>220</v>
      </c>
      <c r="F365" s="505" t="s">
        <v>307</v>
      </c>
      <c r="G365" s="505"/>
      <c r="H365" s="505"/>
      <c r="I365" s="505"/>
      <c r="J365" s="505"/>
      <c r="K365" s="609" t="s">
        <v>592</v>
      </c>
      <c r="L365" s="1110"/>
      <c r="M365" s="1110"/>
      <c r="N365" s="1110"/>
      <c r="O365" s="1110">
        <f>+L365+M365-N365</f>
        <v>0</v>
      </c>
      <c r="P365" s="1110"/>
      <c r="Q365" s="1110"/>
      <c r="R365" s="1110"/>
      <c r="S365" s="1110"/>
      <c r="T365" s="1110"/>
      <c r="U365" s="1110"/>
      <c r="V365" s="1110"/>
      <c r="W365" s="1110"/>
      <c r="X365" s="1110"/>
      <c r="Y365" s="1110"/>
      <c r="Z365" s="1110"/>
      <c r="AA365" s="1106">
        <f t="shared" si="130"/>
        <v>0</v>
      </c>
      <c r="AB365" s="1113" t="e">
        <f t="shared" si="127"/>
        <v>#DIV/0!</v>
      </c>
      <c r="AC365" s="729"/>
    </row>
    <row r="366" spans="1:29" ht="22.5" hidden="1" customHeight="1" thickTop="1" thickBot="1" x14ac:dyDescent="0.3">
      <c r="A366" s="425">
        <v>1</v>
      </c>
      <c r="B366" s="505" t="s">
        <v>216</v>
      </c>
      <c r="C366" s="505" t="s">
        <v>227</v>
      </c>
      <c r="D366" s="505" t="s">
        <v>366</v>
      </c>
      <c r="E366" s="505" t="s">
        <v>220</v>
      </c>
      <c r="F366" s="505" t="s">
        <v>332</v>
      </c>
      <c r="G366" s="505"/>
      <c r="H366" s="505"/>
      <c r="I366" s="505"/>
      <c r="J366" s="505"/>
      <c r="K366" s="609" t="s">
        <v>593</v>
      </c>
      <c r="L366" s="1110"/>
      <c r="M366" s="1110"/>
      <c r="N366" s="1110"/>
      <c r="O366" s="1110">
        <f>+L366+M366-N366</f>
        <v>0</v>
      </c>
      <c r="P366" s="1110"/>
      <c r="Q366" s="1110"/>
      <c r="R366" s="1110"/>
      <c r="S366" s="1110"/>
      <c r="T366" s="1110"/>
      <c r="U366" s="1110"/>
      <c r="V366" s="1110"/>
      <c r="W366" s="1110"/>
      <c r="X366" s="1110"/>
      <c r="Y366" s="1110"/>
      <c r="Z366" s="1110"/>
      <c r="AA366" s="1106">
        <f t="shared" si="130"/>
        <v>0</v>
      </c>
      <c r="AB366" s="1113" t="e">
        <f t="shared" si="127"/>
        <v>#DIV/0!</v>
      </c>
      <c r="AC366" s="729"/>
    </row>
    <row r="367" spans="1:29" ht="22.5" hidden="1" customHeight="1" thickTop="1" thickBot="1" x14ac:dyDescent="0.3">
      <c r="A367" s="425">
        <v>1</v>
      </c>
      <c r="B367" s="505" t="s">
        <v>216</v>
      </c>
      <c r="C367" s="505" t="s">
        <v>227</v>
      </c>
      <c r="D367" s="505" t="s">
        <v>366</v>
      </c>
      <c r="E367" s="505" t="s">
        <v>220</v>
      </c>
      <c r="F367" s="505" t="s">
        <v>391</v>
      </c>
      <c r="G367" s="505"/>
      <c r="H367" s="505"/>
      <c r="I367" s="505"/>
      <c r="J367" s="505"/>
      <c r="K367" s="609" t="s">
        <v>594</v>
      </c>
      <c r="L367" s="1110"/>
      <c r="M367" s="1110"/>
      <c r="N367" s="1110"/>
      <c r="O367" s="1110">
        <f>+L367+M367-N367</f>
        <v>0</v>
      </c>
      <c r="P367" s="1110"/>
      <c r="Q367" s="1110"/>
      <c r="R367" s="1110"/>
      <c r="S367" s="1110"/>
      <c r="T367" s="1110"/>
      <c r="U367" s="1110"/>
      <c r="V367" s="1110"/>
      <c r="W367" s="1110"/>
      <c r="X367" s="1110"/>
      <c r="Y367" s="1110"/>
      <c r="Z367" s="1110"/>
      <c r="AA367" s="1106">
        <f t="shared" si="130"/>
        <v>0</v>
      </c>
      <c r="AB367" s="1113" t="e">
        <f t="shared" si="127"/>
        <v>#DIV/0!</v>
      </c>
      <c r="AC367" s="729"/>
    </row>
    <row r="368" spans="1:29" ht="22.5" hidden="1" customHeight="1" thickTop="1" thickBot="1" x14ac:dyDescent="0.3">
      <c r="A368" s="425">
        <v>1</v>
      </c>
      <c r="B368" s="505" t="s">
        <v>216</v>
      </c>
      <c r="C368" s="505" t="s">
        <v>227</v>
      </c>
      <c r="D368" s="505" t="s">
        <v>366</v>
      </c>
      <c r="E368" s="505" t="s">
        <v>220</v>
      </c>
      <c r="F368" s="505" t="s">
        <v>595</v>
      </c>
      <c r="G368" s="505"/>
      <c r="H368" s="505"/>
      <c r="I368" s="505"/>
      <c r="J368" s="505"/>
      <c r="K368" s="609" t="s">
        <v>583</v>
      </c>
      <c r="L368" s="1110"/>
      <c r="M368" s="1110"/>
      <c r="N368" s="1110"/>
      <c r="O368" s="1110">
        <f>+L368+M368-N368</f>
        <v>0</v>
      </c>
      <c r="P368" s="1110"/>
      <c r="Q368" s="1110"/>
      <c r="R368" s="1110"/>
      <c r="S368" s="1110"/>
      <c r="T368" s="1110"/>
      <c r="U368" s="1110"/>
      <c r="V368" s="1110"/>
      <c r="W368" s="1110"/>
      <c r="X368" s="1110"/>
      <c r="Y368" s="1110"/>
      <c r="Z368" s="1110"/>
      <c r="AA368" s="1106">
        <f t="shared" si="130"/>
        <v>0</v>
      </c>
      <c r="AB368" s="1113" t="e">
        <f t="shared" si="127"/>
        <v>#DIV/0!</v>
      </c>
      <c r="AC368" s="729"/>
    </row>
    <row r="369" spans="1:29" ht="22.5" hidden="1" customHeight="1" thickTop="1" thickBot="1" x14ac:dyDescent="0.3">
      <c r="A369" s="425">
        <v>1</v>
      </c>
      <c r="B369" s="505" t="s">
        <v>216</v>
      </c>
      <c r="C369" s="505" t="s">
        <v>227</v>
      </c>
      <c r="D369" s="505" t="s">
        <v>366</v>
      </c>
      <c r="E369" s="505" t="s">
        <v>220</v>
      </c>
      <c r="F369" s="505" t="s">
        <v>596</v>
      </c>
      <c r="G369" s="505"/>
      <c r="H369" s="505"/>
      <c r="I369" s="505"/>
      <c r="J369" s="505"/>
      <c r="K369" s="609" t="s">
        <v>597</v>
      </c>
      <c r="L369" s="1110"/>
      <c r="M369" s="1110"/>
      <c r="N369" s="1110"/>
      <c r="O369" s="1110">
        <f>+L369+M369-N369</f>
        <v>0</v>
      </c>
      <c r="P369" s="1110"/>
      <c r="Q369" s="1110"/>
      <c r="R369" s="1110"/>
      <c r="S369" s="1110"/>
      <c r="T369" s="1110"/>
      <c r="U369" s="1110"/>
      <c r="V369" s="1110"/>
      <c r="W369" s="1110"/>
      <c r="X369" s="1110"/>
      <c r="Y369" s="1110"/>
      <c r="Z369" s="1110"/>
      <c r="AA369" s="1106">
        <f t="shared" si="130"/>
        <v>0</v>
      </c>
      <c r="AB369" s="1113" t="e">
        <f t="shared" si="127"/>
        <v>#DIV/0!</v>
      </c>
      <c r="AC369" s="729"/>
    </row>
    <row r="370" spans="1:29" s="1097" customFormat="1" ht="22.5" hidden="1" customHeight="1" thickTop="1" thickBot="1" x14ac:dyDescent="0.3">
      <c r="A370" s="1091">
        <v>1</v>
      </c>
      <c r="B370" s="1092" t="s">
        <v>216</v>
      </c>
      <c r="C370" s="1092" t="s">
        <v>227</v>
      </c>
      <c r="D370" s="1092" t="s">
        <v>366</v>
      </c>
      <c r="E370" s="1092" t="s">
        <v>231</v>
      </c>
      <c r="F370" s="1092"/>
      <c r="G370" s="1092"/>
      <c r="H370" s="1092"/>
      <c r="I370" s="1092"/>
      <c r="J370" s="1092"/>
      <c r="K370" s="1093" t="s">
        <v>587</v>
      </c>
      <c r="L370" s="1094">
        <f>+L371+L376</f>
        <v>0</v>
      </c>
      <c r="M370" s="1094">
        <f t="shared" ref="M370:Z370" si="137">+M371+M376</f>
        <v>0</v>
      </c>
      <c r="N370" s="1094">
        <f t="shared" si="137"/>
        <v>0</v>
      </c>
      <c r="O370" s="1094">
        <f t="shared" si="137"/>
        <v>0</v>
      </c>
      <c r="P370" s="1094">
        <f t="shared" si="137"/>
        <v>0</v>
      </c>
      <c r="Q370" s="1094"/>
      <c r="R370" s="1094">
        <f t="shared" si="137"/>
        <v>0</v>
      </c>
      <c r="S370" s="1094"/>
      <c r="T370" s="1094">
        <f t="shared" si="137"/>
        <v>0</v>
      </c>
      <c r="U370" s="1094"/>
      <c r="V370" s="1094">
        <f t="shared" si="137"/>
        <v>0</v>
      </c>
      <c r="W370" s="1094"/>
      <c r="X370" s="1094">
        <f t="shared" si="137"/>
        <v>0</v>
      </c>
      <c r="Y370" s="1094">
        <f t="shared" si="137"/>
        <v>0</v>
      </c>
      <c r="Z370" s="1094">
        <f t="shared" si="137"/>
        <v>0</v>
      </c>
      <c r="AA370" s="1106">
        <f t="shared" si="130"/>
        <v>0</v>
      </c>
      <c r="AB370" s="1095" t="e">
        <f t="shared" si="127"/>
        <v>#DIV/0!</v>
      </c>
      <c r="AC370" s="1096"/>
    </row>
    <row r="371" spans="1:29" s="1104" customFormat="1" ht="0.75" hidden="1" customHeight="1" thickTop="1" thickBot="1" x14ac:dyDescent="0.3">
      <c r="A371" s="1098">
        <v>1</v>
      </c>
      <c r="B371" s="1099" t="s">
        <v>216</v>
      </c>
      <c r="C371" s="1099" t="s">
        <v>227</v>
      </c>
      <c r="D371" s="1099" t="s">
        <v>366</v>
      </c>
      <c r="E371" s="1099" t="s">
        <v>231</v>
      </c>
      <c r="F371" s="1099" t="s">
        <v>307</v>
      </c>
      <c r="G371" s="1099"/>
      <c r="H371" s="1099"/>
      <c r="I371" s="1099"/>
      <c r="J371" s="1099"/>
      <c r="K371" s="1100" t="s">
        <v>598</v>
      </c>
      <c r="L371" s="1101">
        <f>+L372+L373+L374+L375</f>
        <v>0</v>
      </c>
      <c r="M371" s="1101">
        <f t="shared" ref="M371:Z371" si="138">+M372+M373+M374+M375</f>
        <v>0</v>
      </c>
      <c r="N371" s="1101">
        <f t="shared" si="138"/>
        <v>0</v>
      </c>
      <c r="O371" s="1101">
        <f t="shared" si="138"/>
        <v>0</v>
      </c>
      <c r="P371" s="1101">
        <f t="shared" si="138"/>
        <v>0</v>
      </c>
      <c r="Q371" s="1101"/>
      <c r="R371" s="1101">
        <f t="shared" si="138"/>
        <v>0</v>
      </c>
      <c r="S371" s="1101"/>
      <c r="T371" s="1101">
        <f t="shared" si="138"/>
        <v>0</v>
      </c>
      <c r="U371" s="1101"/>
      <c r="V371" s="1101">
        <f t="shared" si="138"/>
        <v>0</v>
      </c>
      <c r="W371" s="1101"/>
      <c r="X371" s="1101">
        <f t="shared" si="138"/>
        <v>0</v>
      </c>
      <c r="Y371" s="1101">
        <f t="shared" si="138"/>
        <v>0</v>
      </c>
      <c r="Z371" s="1101">
        <f t="shared" si="138"/>
        <v>0</v>
      </c>
      <c r="AA371" s="1106">
        <f t="shared" si="130"/>
        <v>0</v>
      </c>
      <c r="AB371" s="1102" t="e">
        <f t="shared" si="127"/>
        <v>#DIV/0!</v>
      </c>
      <c r="AC371" s="1103"/>
    </row>
    <row r="372" spans="1:29" ht="22.5" hidden="1" customHeight="1" thickTop="1" thickBot="1" x14ac:dyDescent="0.3">
      <c r="A372" s="425">
        <v>1</v>
      </c>
      <c r="B372" s="505" t="s">
        <v>216</v>
      </c>
      <c r="C372" s="505" t="s">
        <v>227</v>
      </c>
      <c r="D372" s="505" t="s">
        <v>366</v>
      </c>
      <c r="E372" s="505" t="s">
        <v>231</v>
      </c>
      <c r="F372" s="505" t="s">
        <v>307</v>
      </c>
      <c r="G372" s="505" t="s">
        <v>220</v>
      </c>
      <c r="H372" s="505"/>
      <c r="I372" s="505"/>
      <c r="J372" s="505"/>
      <c r="K372" s="609" t="s">
        <v>599</v>
      </c>
      <c r="L372" s="1110"/>
      <c r="M372" s="1110"/>
      <c r="N372" s="1110"/>
      <c r="O372" s="1110">
        <f t="shared" ref="O372:O377" si="139">+L372+M372-N372</f>
        <v>0</v>
      </c>
      <c r="P372" s="1110"/>
      <c r="Q372" s="1110"/>
      <c r="R372" s="1110"/>
      <c r="S372" s="1110"/>
      <c r="T372" s="1110"/>
      <c r="U372" s="1110"/>
      <c r="V372" s="1110"/>
      <c r="W372" s="1110"/>
      <c r="X372" s="1110"/>
      <c r="Y372" s="1110"/>
      <c r="Z372" s="1110"/>
      <c r="AA372" s="1106">
        <f t="shared" si="130"/>
        <v>0</v>
      </c>
      <c r="AB372" s="1113" t="e">
        <f t="shared" si="127"/>
        <v>#DIV/0!</v>
      </c>
      <c r="AC372" s="729"/>
    </row>
    <row r="373" spans="1:29" ht="22.5" hidden="1" customHeight="1" thickTop="1" thickBot="1" x14ac:dyDescent="0.3">
      <c r="A373" s="425">
        <v>1</v>
      </c>
      <c r="B373" s="505" t="s">
        <v>216</v>
      </c>
      <c r="C373" s="505" t="s">
        <v>227</v>
      </c>
      <c r="D373" s="505" t="s">
        <v>366</v>
      </c>
      <c r="E373" s="505" t="s">
        <v>231</v>
      </c>
      <c r="F373" s="505" t="s">
        <v>307</v>
      </c>
      <c r="G373" s="505" t="s">
        <v>231</v>
      </c>
      <c r="H373" s="505"/>
      <c r="I373" s="505"/>
      <c r="J373" s="505"/>
      <c r="K373" s="609" t="s">
        <v>600</v>
      </c>
      <c r="L373" s="1110"/>
      <c r="M373" s="1110"/>
      <c r="N373" s="1110"/>
      <c r="O373" s="1110">
        <f t="shared" si="139"/>
        <v>0</v>
      </c>
      <c r="P373" s="1110"/>
      <c r="Q373" s="1110"/>
      <c r="R373" s="1110"/>
      <c r="S373" s="1110"/>
      <c r="T373" s="1110"/>
      <c r="U373" s="1110"/>
      <c r="V373" s="1110"/>
      <c r="W373" s="1110"/>
      <c r="X373" s="1110"/>
      <c r="Y373" s="1110"/>
      <c r="Z373" s="1110"/>
      <c r="AA373" s="1106">
        <f t="shared" si="130"/>
        <v>0</v>
      </c>
      <c r="AB373" s="1113" t="e">
        <f t="shared" si="127"/>
        <v>#DIV/0!</v>
      </c>
      <c r="AC373" s="729"/>
    </row>
    <row r="374" spans="1:29" ht="22.5" hidden="1" customHeight="1" thickTop="1" thickBot="1" x14ac:dyDescent="0.3">
      <c r="A374" s="425">
        <v>1</v>
      </c>
      <c r="B374" s="505" t="s">
        <v>216</v>
      </c>
      <c r="C374" s="505" t="s">
        <v>227</v>
      </c>
      <c r="D374" s="505" t="s">
        <v>366</v>
      </c>
      <c r="E374" s="505" t="s">
        <v>231</v>
      </c>
      <c r="F374" s="505" t="s">
        <v>307</v>
      </c>
      <c r="G374" s="505" t="s">
        <v>305</v>
      </c>
      <c r="H374" s="505"/>
      <c r="I374" s="505"/>
      <c r="J374" s="505"/>
      <c r="K374" s="609" t="s">
        <v>601</v>
      </c>
      <c r="L374" s="1110"/>
      <c r="M374" s="1110"/>
      <c r="N374" s="1110"/>
      <c r="O374" s="1110">
        <f t="shared" si="139"/>
        <v>0</v>
      </c>
      <c r="P374" s="1110"/>
      <c r="Q374" s="1110"/>
      <c r="R374" s="1110"/>
      <c r="S374" s="1110"/>
      <c r="T374" s="1110"/>
      <c r="U374" s="1110"/>
      <c r="V374" s="1110"/>
      <c r="W374" s="1110"/>
      <c r="X374" s="1110"/>
      <c r="Y374" s="1110"/>
      <c r="Z374" s="1110"/>
      <c r="AA374" s="1106">
        <f t="shared" si="130"/>
        <v>0</v>
      </c>
      <c r="AB374" s="1113" t="e">
        <f t="shared" si="127"/>
        <v>#DIV/0!</v>
      </c>
      <c r="AC374" s="729"/>
    </row>
    <row r="375" spans="1:29" ht="22.5" hidden="1" customHeight="1" thickTop="1" thickBot="1" x14ac:dyDescent="0.3">
      <c r="A375" s="425">
        <v>1</v>
      </c>
      <c r="B375" s="505" t="s">
        <v>216</v>
      </c>
      <c r="C375" s="505" t="s">
        <v>227</v>
      </c>
      <c r="D375" s="505" t="s">
        <v>366</v>
      </c>
      <c r="E375" s="505" t="s">
        <v>231</v>
      </c>
      <c r="F375" s="505" t="s">
        <v>307</v>
      </c>
      <c r="G375" s="505" t="s">
        <v>313</v>
      </c>
      <c r="H375" s="505"/>
      <c r="I375" s="505"/>
      <c r="J375" s="505"/>
      <c r="K375" s="609" t="s">
        <v>602</v>
      </c>
      <c r="L375" s="1110"/>
      <c r="M375" s="1110"/>
      <c r="N375" s="1110"/>
      <c r="O375" s="1110">
        <f t="shared" si="139"/>
        <v>0</v>
      </c>
      <c r="P375" s="1110"/>
      <c r="Q375" s="1110"/>
      <c r="R375" s="1110"/>
      <c r="S375" s="1110"/>
      <c r="T375" s="1110"/>
      <c r="U375" s="1110"/>
      <c r="V375" s="1110"/>
      <c r="W375" s="1110"/>
      <c r="X375" s="1110"/>
      <c r="Y375" s="1110"/>
      <c r="Z375" s="1110"/>
      <c r="AA375" s="1106">
        <f t="shared" si="130"/>
        <v>0</v>
      </c>
      <c r="AB375" s="1113" t="e">
        <f t="shared" si="127"/>
        <v>#DIV/0!</v>
      </c>
      <c r="AC375" s="729"/>
    </row>
    <row r="376" spans="1:29" s="1104" customFormat="1" ht="22.5" hidden="1" customHeight="1" thickTop="1" thickBot="1" x14ac:dyDescent="0.3">
      <c r="A376" s="1098">
        <v>1</v>
      </c>
      <c r="B376" s="1099" t="s">
        <v>216</v>
      </c>
      <c r="C376" s="1099" t="s">
        <v>227</v>
      </c>
      <c r="D376" s="1099" t="s">
        <v>366</v>
      </c>
      <c r="E376" s="1099" t="s">
        <v>231</v>
      </c>
      <c r="F376" s="1099" t="s">
        <v>332</v>
      </c>
      <c r="G376" s="1099"/>
      <c r="H376" s="1099"/>
      <c r="I376" s="1099"/>
      <c r="J376" s="1099"/>
      <c r="K376" s="1100" t="s">
        <v>603</v>
      </c>
      <c r="L376" s="1101"/>
      <c r="M376" s="1101"/>
      <c r="N376" s="1101"/>
      <c r="O376" s="1101">
        <f t="shared" si="139"/>
        <v>0</v>
      </c>
      <c r="P376" s="1101"/>
      <c r="Q376" s="1101"/>
      <c r="R376" s="1101"/>
      <c r="S376" s="1101"/>
      <c r="T376" s="1101"/>
      <c r="U376" s="1101"/>
      <c r="V376" s="1101"/>
      <c r="W376" s="1101"/>
      <c r="X376" s="1101"/>
      <c r="Y376" s="1101"/>
      <c r="Z376" s="1101"/>
      <c r="AA376" s="1106">
        <f t="shared" si="130"/>
        <v>0</v>
      </c>
      <c r="AB376" s="1102" t="e">
        <f t="shared" si="127"/>
        <v>#DIV/0!</v>
      </c>
      <c r="AC376" s="1103"/>
    </row>
    <row r="377" spans="1:29" s="1097" customFormat="1" ht="22.5" hidden="1" customHeight="1" thickTop="1" thickBot="1" x14ac:dyDescent="0.3">
      <c r="A377" s="1091">
        <v>1</v>
      </c>
      <c r="B377" s="1092" t="s">
        <v>216</v>
      </c>
      <c r="C377" s="1092" t="s">
        <v>227</v>
      </c>
      <c r="D377" s="1092" t="s">
        <v>366</v>
      </c>
      <c r="E377" s="1092" t="s">
        <v>305</v>
      </c>
      <c r="F377" s="1092"/>
      <c r="G377" s="1092"/>
      <c r="H377" s="1092"/>
      <c r="I377" s="1092"/>
      <c r="J377" s="1092"/>
      <c r="K377" s="1093" t="s">
        <v>589</v>
      </c>
      <c r="L377" s="1094"/>
      <c r="M377" s="1094"/>
      <c r="N377" s="1094"/>
      <c r="O377" s="1094">
        <f t="shared" si="139"/>
        <v>0</v>
      </c>
      <c r="P377" s="1094"/>
      <c r="Q377" s="1094"/>
      <c r="R377" s="1094"/>
      <c r="S377" s="1094"/>
      <c r="T377" s="1094"/>
      <c r="U377" s="1094"/>
      <c r="V377" s="1094"/>
      <c r="W377" s="1094"/>
      <c r="X377" s="1094"/>
      <c r="Y377" s="1094"/>
      <c r="Z377" s="1094"/>
      <c r="AA377" s="1106">
        <f t="shared" si="130"/>
        <v>0</v>
      </c>
      <c r="AB377" s="1095" t="e">
        <f t="shared" si="127"/>
        <v>#DIV/0!</v>
      </c>
      <c r="AC377" s="1096"/>
    </row>
    <row r="378" spans="1:29" s="1090" customFormat="1" ht="22.5" customHeight="1" thickTop="1" thickBot="1" x14ac:dyDescent="0.3">
      <c r="A378" s="1086">
        <v>1</v>
      </c>
      <c r="B378" s="421" t="s">
        <v>216</v>
      </c>
      <c r="C378" s="421" t="s">
        <v>227</v>
      </c>
      <c r="D378" s="421" t="s">
        <v>371</v>
      </c>
      <c r="E378" s="421"/>
      <c r="F378" s="421"/>
      <c r="G378" s="421"/>
      <c r="H378" s="421"/>
      <c r="I378" s="421"/>
      <c r="J378" s="421"/>
      <c r="K378" s="1087" t="s">
        <v>604</v>
      </c>
      <c r="L378" s="1088"/>
      <c r="M378" s="1088">
        <f t="shared" ref="M378:Z378" si="140">+M379+M389+M390+M393</f>
        <v>452665000</v>
      </c>
      <c r="N378" s="1088">
        <f t="shared" si="140"/>
        <v>0</v>
      </c>
      <c r="O378" s="1088">
        <f t="shared" si="140"/>
        <v>452665000</v>
      </c>
      <c r="P378" s="1088">
        <f t="shared" si="140"/>
        <v>0</v>
      </c>
      <c r="Q378" s="1088"/>
      <c r="R378" s="1088">
        <f t="shared" si="140"/>
        <v>452665000</v>
      </c>
      <c r="S378" s="1088"/>
      <c r="T378" s="1088">
        <f t="shared" si="140"/>
        <v>0</v>
      </c>
      <c r="U378" s="1088"/>
      <c r="V378" s="1088">
        <f t="shared" si="140"/>
        <v>0</v>
      </c>
      <c r="W378" s="1088"/>
      <c r="X378" s="1088">
        <f t="shared" si="140"/>
        <v>0</v>
      </c>
      <c r="Y378" s="1088">
        <f t="shared" si="140"/>
        <v>135799500</v>
      </c>
      <c r="Z378" s="1088">
        <f t="shared" si="140"/>
        <v>226332500</v>
      </c>
      <c r="AA378" s="1106">
        <f t="shared" si="130"/>
        <v>362132000</v>
      </c>
      <c r="AB378" s="1089" t="e">
        <f t="shared" si="127"/>
        <v>#DIV/0!</v>
      </c>
      <c r="AC378" s="511"/>
    </row>
    <row r="379" spans="1:29" s="1097" customFormat="1" ht="22.5" hidden="1" customHeight="1" thickTop="1" thickBot="1" x14ac:dyDescent="0.3">
      <c r="A379" s="1091">
        <v>1</v>
      </c>
      <c r="B379" s="1092" t="s">
        <v>216</v>
      </c>
      <c r="C379" s="1092" t="s">
        <v>227</v>
      </c>
      <c r="D379" s="1092" t="s">
        <v>371</v>
      </c>
      <c r="E379" s="1092" t="s">
        <v>220</v>
      </c>
      <c r="F379" s="1092"/>
      <c r="G379" s="1092"/>
      <c r="H379" s="1092"/>
      <c r="I379" s="1092"/>
      <c r="J379" s="1092"/>
      <c r="K379" s="1093" t="s">
        <v>605</v>
      </c>
      <c r="L379" s="1094">
        <f>+L380+L383+L386</f>
        <v>0</v>
      </c>
      <c r="M379" s="1094">
        <f t="shared" ref="M379:Z379" si="141">+M380+M383+M386</f>
        <v>0</v>
      </c>
      <c r="N379" s="1094">
        <f t="shared" si="141"/>
        <v>0</v>
      </c>
      <c r="O379" s="1094">
        <f t="shared" si="141"/>
        <v>0</v>
      </c>
      <c r="P379" s="1094">
        <f t="shared" si="141"/>
        <v>0</v>
      </c>
      <c r="Q379" s="1094"/>
      <c r="R379" s="1094">
        <f t="shared" si="141"/>
        <v>0</v>
      </c>
      <c r="S379" s="1094"/>
      <c r="T379" s="1094">
        <f t="shared" si="141"/>
        <v>0</v>
      </c>
      <c r="U379" s="1094"/>
      <c r="V379" s="1094">
        <f t="shared" si="141"/>
        <v>0</v>
      </c>
      <c r="W379" s="1094"/>
      <c r="X379" s="1094">
        <f t="shared" si="141"/>
        <v>0</v>
      </c>
      <c r="Y379" s="1094">
        <f t="shared" si="141"/>
        <v>0</v>
      </c>
      <c r="Z379" s="1094">
        <f t="shared" si="141"/>
        <v>0</v>
      </c>
      <c r="AA379" s="1106">
        <f t="shared" si="130"/>
        <v>0</v>
      </c>
      <c r="AB379" s="1095" t="e">
        <f t="shared" si="127"/>
        <v>#DIV/0!</v>
      </c>
      <c r="AC379" s="1096"/>
    </row>
    <row r="380" spans="1:29" s="1104" customFormat="1" ht="22.5" hidden="1" customHeight="1" thickTop="1" thickBot="1" x14ac:dyDescent="0.3">
      <c r="A380" s="1098">
        <v>1</v>
      </c>
      <c r="B380" s="1099" t="s">
        <v>216</v>
      </c>
      <c r="C380" s="1099" t="s">
        <v>227</v>
      </c>
      <c r="D380" s="1099" t="s">
        <v>371</v>
      </c>
      <c r="E380" s="1099" t="s">
        <v>220</v>
      </c>
      <c r="F380" s="1099" t="s">
        <v>307</v>
      </c>
      <c r="G380" s="1099"/>
      <c r="H380" s="1099"/>
      <c r="I380" s="1099"/>
      <c r="J380" s="1099"/>
      <c r="K380" s="1100" t="s">
        <v>606</v>
      </c>
      <c r="L380" s="1101">
        <f>+L381+L382</f>
        <v>0</v>
      </c>
      <c r="M380" s="1101">
        <f t="shared" ref="M380:Z380" si="142">+M381+M382</f>
        <v>0</v>
      </c>
      <c r="N380" s="1101">
        <f t="shared" si="142"/>
        <v>0</v>
      </c>
      <c r="O380" s="1101">
        <f t="shared" si="142"/>
        <v>0</v>
      </c>
      <c r="P380" s="1101">
        <f t="shared" si="142"/>
        <v>0</v>
      </c>
      <c r="Q380" s="1101"/>
      <c r="R380" s="1101">
        <f t="shared" si="142"/>
        <v>0</v>
      </c>
      <c r="S380" s="1101"/>
      <c r="T380" s="1101">
        <f t="shared" si="142"/>
        <v>0</v>
      </c>
      <c r="U380" s="1101"/>
      <c r="V380" s="1101">
        <f t="shared" si="142"/>
        <v>0</v>
      </c>
      <c r="W380" s="1101"/>
      <c r="X380" s="1101">
        <f t="shared" si="142"/>
        <v>0</v>
      </c>
      <c r="Y380" s="1101">
        <f t="shared" si="142"/>
        <v>0</v>
      </c>
      <c r="Z380" s="1101">
        <f t="shared" si="142"/>
        <v>0</v>
      </c>
      <c r="AA380" s="1106">
        <f t="shared" si="130"/>
        <v>0</v>
      </c>
      <c r="AB380" s="1102" t="e">
        <f t="shared" si="127"/>
        <v>#DIV/0!</v>
      </c>
      <c r="AC380" s="1103"/>
    </row>
    <row r="381" spans="1:29" ht="22.5" hidden="1" customHeight="1" thickTop="1" thickBot="1" x14ac:dyDescent="0.3">
      <c r="A381" s="425">
        <v>1</v>
      </c>
      <c r="B381" s="505" t="s">
        <v>216</v>
      </c>
      <c r="C381" s="505" t="s">
        <v>227</v>
      </c>
      <c r="D381" s="505" t="s">
        <v>371</v>
      </c>
      <c r="E381" s="505" t="s">
        <v>220</v>
      </c>
      <c r="F381" s="505" t="s">
        <v>307</v>
      </c>
      <c r="G381" s="505" t="s">
        <v>220</v>
      </c>
      <c r="H381" s="505"/>
      <c r="I381" s="505"/>
      <c r="J381" s="505"/>
      <c r="K381" s="609" t="s">
        <v>607</v>
      </c>
      <c r="L381" s="1110"/>
      <c r="M381" s="1110"/>
      <c r="N381" s="1110"/>
      <c r="O381" s="1110">
        <f>+L381+M381-N381</f>
        <v>0</v>
      </c>
      <c r="P381" s="1110"/>
      <c r="Q381" s="1110"/>
      <c r="R381" s="1110"/>
      <c r="S381" s="1110"/>
      <c r="T381" s="1110"/>
      <c r="U381" s="1110"/>
      <c r="V381" s="1110"/>
      <c r="W381" s="1110"/>
      <c r="X381" s="1110"/>
      <c r="Y381" s="1110"/>
      <c r="Z381" s="1110"/>
      <c r="AA381" s="1106">
        <f t="shared" si="130"/>
        <v>0</v>
      </c>
      <c r="AB381" s="1113" t="e">
        <f t="shared" si="127"/>
        <v>#DIV/0!</v>
      </c>
      <c r="AC381" s="729"/>
    </row>
    <row r="382" spans="1:29" ht="22.5" hidden="1" customHeight="1" thickTop="1" thickBot="1" x14ac:dyDescent="0.3">
      <c r="A382" s="425">
        <v>1</v>
      </c>
      <c r="B382" s="505" t="s">
        <v>216</v>
      </c>
      <c r="C382" s="505" t="s">
        <v>227</v>
      </c>
      <c r="D382" s="505" t="s">
        <v>371</v>
      </c>
      <c r="E382" s="505" t="s">
        <v>220</v>
      </c>
      <c r="F382" s="505" t="s">
        <v>307</v>
      </c>
      <c r="G382" s="505" t="s">
        <v>231</v>
      </c>
      <c r="H382" s="505"/>
      <c r="I382" s="505"/>
      <c r="J382" s="505"/>
      <c r="K382" s="609" t="s">
        <v>608</v>
      </c>
      <c r="L382" s="1110"/>
      <c r="M382" s="1110"/>
      <c r="N382" s="1110"/>
      <c r="O382" s="1110">
        <f>+L382+M382-N382</f>
        <v>0</v>
      </c>
      <c r="P382" s="1110"/>
      <c r="Q382" s="1110"/>
      <c r="R382" s="1110"/>
      <c r="S382" s="1110"/>
      <c r="T382" s="1110"/>
      <c r="U382" s="1110"/>
      <c r="V382" s="1110"/>
      <c r="W382" s="1110"/>
      <c r="X382" s="1110"/>
      <c r="Y382" s="1110"/>
      <c r="Z382" s="1110"/>
      <c r="AA382" s="1106">
        <f t="shared" si="130"/>
        <v>0</v>
      </c>
      <c r="AB382" s="1113" t="e">
        <f t="shared" si="127"/>
        <v>#DIV/0!</v>
      </c>
      <c r="AC382" s="729"/>
    </row>
    <row r="383" spans="1:29" s="1104" customFormat="1" ht="22.5" hidden="1" customHeight="1" thickTop="1" thickBot="1" x14ac:dyDescent="0.3">
      <c r="A383" s="1098">
        <v>1</v>
      </c>
      <c r="B383" s="1099" t="s">
        <v>216</v>
      </c>
      <c r="C383" s="1099" t="s">
        <v>227</v>
      </c>
      <c r="D383" s="1099" t="s">
        <v>371</v>
      </c>
      <c r="E383" s="1099" t="s">
        <v>220</v>
      </c>
      <c r="F383" s="1099" t="s">
        <v>332</v>
      </c>
      <c r="G383" s="1099"/>
      <c r="H383" s="1099"/>
      <c r="I383" s="1099"/>
      <c r="J383" s="1099"/>
      <c r="K383" s="1100" t="s">
        <v>609</v>
      </c>
      <c r="L383" s="1101">
        <f>+L384+L385</f>
        <v>0</v>
      </c>
      <c r="M383" s="1101">
        <f t="shared" ref="M383:Z383" si="143">+M384+M385</f>
        <v>0</v>
      </c>
      <c r="N383" s="1101">
        <f t="shared" si="143"/>
        <v>0</v>
      </c>
      <c r="O383" s="1101">
        <f t="shared" si="143"/>
        <v>0</v>
      </c>
      <c r="P383" s="1101">
        <f t="shared" si="143"/>
        <v>0</v>
      </c>
      <c r="Q383" s="1101"/>
      <c r="R383" s="1101">
        <f t="shared" si="143"/>
        <v>0</v>
      </c>
      <c r="S383" s="1101"/>
      <c r="T383" s="1101">
        <f t="shared" si="143"/>
        <v>0</v>
      </c>
      <c r="U383" s="1101"/>
      <c r="V383" s="1101">
        <f t="shared" si="143"/>
        <v>0</v>
      </c>
      <c r="W383" s="1101"/>
      <c r="X383" s="1101">
        <f t="shared" si="143"/>
        <v>0</v>
      </c>
      <c r="Y383" s="1101">
        <f t="shared" si="143"/>
        <v>0</v>
      </c>
      <c r="Z383" s="1101">
        <f t="shared" si="143"/>
        <v>0</v>
      </c>
      <c r="AA383" s="1106">
        <f t="shared" si="130"/>
        <v>0</v>
      </c>
      <c r="AB383" s="1102" t="e">
        <f t="shared" si="127"/>
        <v>#DIV/0!</v>
      </c>
      <c r="AC383" s="1103"/>
    </row>
    <row r="384" spans="1:29" ht="22.5" hidden="1" customHeight="1" thickTop="1" thickBot="1" x14ac:dyDescent="0.3">
      <c r="A384" s="425">
        <v>1</v>
      </c>
      <c r="B384" s="505" t="s">
        <v>216</v>
      </c>
      <c r="C384" s="505" t="s">
        <v>227</v>
      </c>
      <c r="D384" s="505" t="s">
        <v>371</v>
      </c>
      <c r="E384" s="505" t="s">
        <v>220</v>
      </c>
      <c r="F384" s="505" t="s">
        <v>332</v>
      </c>
      <c r="G384" s="505" t="s">
        <v>220</v>
      </c>
      <c r="H384" s="505"/>
      <c r="I384" s="505"/>
      <c r="J384" s="505"/>
      <c r="K384" s="609" t="s">
        <v>607</v>
      </c>
      <c r="L384" s="1110"/>
      <c r="M384" s="1110"/>
      <c r="N384" s="1110"/>
      <c r="O384" s="1110">
        <f>+L384+M384-N384</f>
        <v>0</v>
      </c>
      <c r="P384" s="1110"/>
      <c r="Q384" s="1110"/>
      <c r="R384" s="1110"/>
      <c r="S384" s="1110"/>
      <c r="T384" s="1110"/>
      <c r="U384" s="1110"/>
      <c r="V384" s="1110"/>
      <c r="W384" s="1110"/>
      <c r="X384" s="1110"/>
      <c r="Y384" s="1110"/>
      <c r="Z384" s="1110"/>
      <c r="AA384" s="1106">
        <f t="shared" si="130"/>
        <v>0</v>
      </c>
      <c r="AB384" s="1113" t="e">
        <f t="shared" si="127"/>
        <v>#DIV/0!</v>
      </c>
      <c r="AC384" s="729"/>
    </row>
    <row r="385" spans="1:29" ht="22.5" hidden="1" customHeight="1" thickTop="1" thickBot="1" x14ac:dyDescent="0.3">
      <c r="A385" s="425">
        <v>1</v>
      </c>
      <c r="B385" s="505" t="s">
        <v>216</v>
      </c>
      <c r="C385" s="505" t="s">
        <v>227</v>
      </c>
      <c r="D385" s="505" t="s">
        <v>371</v>
      </c>
      <c r="E385" s="505" t="s">
        <v>220</v>
      </c>
      <c r="F385" s="505" t="s">
        <v>332</v>
      </c>
      <c r="G385" s="505" t="s">
        <v>231</v>
      </c>
      <c r="H385" s="505"/>
      <c r="I385" s="505"/>
      <c r="J385" s="505"/>
      <c r="K385" s="609" t="s">
        <v>608</v>
      </c>
      <c r="L385" s="1110"/>
      <c r="M385" s="1110"/>
      <c r="N385" s="1110"/>
      <c r="O385" s="1110">
        <f>+L385+M385-N385</f>
        <v>0</v>
      </c>
      <c r="P385" s="1110"/>
      <c r="Q385" s="1110"/>
      <c r="R385" s="1110"/>
      <c r="S385" s="1110"/>
      <c r="T385" s="1110"/>
      <c r="U385" s="1110"/>
      <c r="V385" s="1110"/>
      <c r="W385" s="1110"/>
      <c r="X385" s="1110"/>
      <c r="Y385" s="1110"/>
      <c r="Z385" s="1110"/>
      <c r="AA385" s="1106">
        <f t="shared" si="130"/>
        <v>0</v>
      </c>
      <c r="AB385" s="1113" t="e">
        <f t="shared" si="127"/>
        <v>#DIV/0!</v>
      </c>
      <c r="AC385" s="729"/>
    </row>
    <row r="386" spans="1:29" s="1104" customFormat="1" ht="22.5" hidden="1" customHeight="1" thickTop="1" thickBot="1" x14ac:dyDescent="0.3">
      <c r="A386" s="1098">
        <v>1</v>
      </c>
      <c r="B386" s="1099" t="s">
        <v>216</v>
      </c>
      <c r="C386" s="1099" t="s">
        <v>227</v>
      </c>
      <c r="D386" s="1099" t="s">
        <v>371</v>
      </c>
      <c r="E386" s="1099" t="s">
        <v>220</v>
      </c>
      <c r="F386" s="1099" t="s">
        <v>391</v>
      </c>
      <c r="G386" s="1099"/>
      <c r="H386" s="1099"/>
      <c r="I386" s="1099"/>
      <c r="J386" s="1099"/>
      <c r="K386" s="1100" t="s">
        <v>610</v>
      </c>
      <c r="L386" s="1101">
        <f>+L387+L388</f>
        <v>0</v>
      </c>
      <c r="M386" s="1101">
        <f t="shared" ref="M386:Z386" si="144">+M387+M388</f>
        <v>0</v>
      </c>
      <c r="N386" s="1101">
        <f t="shared" si="144"/>
        <v>0</v>
      </c>
      <c r="O386" s="1101">
        <f t="shared" si="144"/>
        <v>0</v>
      </c>
      <c r="P386" s="1101">
        <f t="shared" si="144"/>
        <v>0</v>
      </c>
      <c r="Q386" s="1101"/>
      <c r="R386" s="1101">
        <f t="shared" si="144"/>
        <v>0</v>
      </c>
      <c r="S386" s="1101"/>
      <c r="T386" s="1101">
        <f t="shared" si="144"/>
        <v>0</v>
      </c>
      <c r="U386" s="1101"/>
      <c r="V386" s="1101">
        <f t="shared" si="144"/>
        <v>0</v>
      </c>
      <c r="W386" s="1101"/>
      <c r="X386" s="1101">
        <f t="shared" si="144"/>
        <v>0</v>
      </c>
      <c r="Y386" s="1101">
        <f t="shared" si="144"/>
        <v>0</v>
      </c>
      <c r="Z386" s="1101">
        <f t="shared" si="144"/>
        <v>0</v>
      </c>
      <c r="AA386" s="1106">
        <f t="shared" si="130"/>
        <v>0</v>
      </c>
      <c r="AB386" s="1102" t="e">
        <f t="shared" si="127"/>
        <v>#DIV/0!</v>
      </c>
      <c r="AC386" s="1103"/>
    </row>
    <row r="387" spans="1:29" ht="22.5" hidden="1" customHeight="1" thickTop="1" thickBot="1" x14ac:dyDescent="0.3">
      <c r="A387" s="425">
        <v>1</v>
      </c>
      <c r="B387" s="505" t="s">
        <v>216</v>
      </c>
      <c r="C387" s="505" t="s">
        <v>227</v>
      </c>
      <c r="D387" s="505" t="s">
        <v>371</v>
      </c>
      <c r="E387" s="505" t="s">
        <v>220</v>
      </c>
      <c r="F387" s="505" t="s">
        <v>391</v>
      </c>
      <c r="G387" s="505" t="s">
        <v>220</v>
      </c>
      <c r="H387" s="505"/>
      <c r="I387" s="505"/>
      <c r="J387" s="505"/>
      <c r="K387" s="609" t="s">
        <v>607</v>
      </c>
      <c r="L387" s="1110"/>
      <c r="M387" s="1110"/>
      <c r="N387" s="1110"/>
      <c r="O387" s="1110">
        <f t="shared" ref="O387:O392" si="145">+L387+M387-N387</f>
        <v>0</v>
      </c>
      <c r="P387" s="1110"/>
      <c r="Q387" s="1110"/>
      <c r="R387" s="1110"/>
      <c r="S387" s="1110"/>
      <c r="T387" s="1110"/>
      <c r="U387" s="1110"/>
      <c r="V387" s="1110"/>
      <c r="W387" s="1110"/>
      <c r="X387" s="1110"/>
      <c r="Y387" s="1110"/>
      <c r="Z387" s="1110"/>
      <c r="AA387" s="1106">
        <f t="shared" si="130"/>
        <v>0</v>
      </c>
      <c r="AB387" s="1113" t="e">
        <f t="shared" si="127"/>
        <v>#DIV/0!</v>
      </c>
      <c r="AC387" s="729"/>
    </row>
    <row r="388" spans="1:29" ht="22.5" hidden="1" customHeight="1" thickTop="1" thickBot="1" x14ac:dyDescent="0.3">
      <c r="A388" s="425">
        <v>1</v>
      </c>
      <c r="B388" s="505" t="s">
        <v>216</v>
      </c>
      <c r="C388" s="505" t="s">
        <v>227</v>
      </c>
      <c r="D388" s="505" t="s">
        <v>371</v>
      </c>
      <c r="E388" s="505" t="s">
        <v>220</v>
      </c>
      <c r="F388" s="505" t="s">
        <v>391</v>
      </c>
      <c r="G388" s="505" t="s">
        <v>231</v>
      </c>
      <c r="H388" s="505"/>
      <c r="I388" s="505"/>
      <c r="J388" s="505"/>
      <c r="K388" s="609" t="s">
        <v>608</v>
      </c>
      <c r="L388" s="1110"/>
      <c r="M388" s="1110"/>
      <c r="N388" s="1110"/>
      <c r="O388" s="1110">
        <f t="shared" si="145"/>
        <v>0</v>
      </c>
      <c r="P388" s="1110"/>
      <c r="Q388" s="1110"/>
      <c r="R388" s="1110"/>
      <c r="S388" s="1110"/>
      <c r="T388" s="1110"/>
      <c r="U388" s="1110"/>
      <c r="V388" s="1110"/>
      <c r="W388" s="1110"/>
      <c r="X388" s="1110"/>
      <c r="Y388" s="1110"/>
      <c r="Z388" s="1110"/>
      <c r="AA388" s="1106">
        <f t="shared" si="130"/>
        <v>0</v>
      </c>
      <c r="AB388" s="1113" t="e">
        <f t="shared" ref="AB388:AB451" si="146">+AA388/X388</f>
        <v>#DIV/0!</v>
      </c>
      <c r="AC388" s="729"/>
    </row>
    <row r="389" spans="1:29" s="1097" customFormat="1" ht="22.5" hidden="1" customHeight="1" thickTop="1" thickBot="1" x14ac:dyDescent="0.3">
      <c r="A389" s="1091">
        <v>1</v>
      </c>
      <c r="B389" s="1092" t="s">
        <v>216</v>
      </c>
      <c r="C389" s="1092" t="s">
        <v>227</v>
      </c>
      <c r="D389" s="1092" t="s">
        <v>371</v>
      </c>
      <c r="E389" s="1092" t="s">
        <v>231</v>
      </c>
      <c r="F389" s="1092"/>
      <c r="G389" s="1092"/>
      <c r="H389" s="1092"/>
      <c r="I389" s="1092"/>
      <c r="J389" s="1092"/>
      <c r="K389" s="1093" t="s">
        <v>427</v>
      </c>
      <c r="L389" s="1094"/>
      <c r="M389" s="1094"/>
      <c r="N389" s="1094"/>
      <c r="O389" s="1094">
        <f t="shared" si="145"/>
        <v>0</v>
      </c>
      <c r="P389" s="1094"/>
      <c r="Q389" s="1094"/>
      <c r="R389" s="1094"/>
      <c r="S389" s="1094"/>
      <c r="T389" s="1094"/>
      <c r="U389" s="1094"/>
      <c r="V389" s="1094"/>
      <c r="W389" s="1094"/>
      <c r="X389" s="1094"/>
      <c r="Y389" s="1094"/>
      <c r="Z389" s="1094"/>
      <c r="AA389" s="1106">
        <f t="shared" si="130"/>
        <v>0</v>
      </c>
      <c r="AB389" s="1095" t="e">
        <f t="shared" si="146"/>
        <v>#DIV/0!</v>
      </c>
      <c r="AC389" s="1096"/>
    </row>
    <row r="390" spans="1:29" s="1097" customFormat="1" ht="22.5" hidden="1" customHeight="1" thickTop="1" thickBot="1" x14ac:dyDescent="0.3">
      <c r="A390" s="1091">
        <v>1</v>
      </c>
      <c r="B390" s="1092" t="s">
        <v>216</v>
      </c>
      <c r="C390" s="1092" t="s">
        <v>227</v>
      </c>
      <c r="D390" s="1092" t="s">
        <v>371</v>
      </c>
      <c r="E390" s="1092" t="s">
        <v>305</v>
      </c>
      <c r="F390" s="1092"/>
      <c r="G390" s="1092"/>
      <c r="H390" s="1092"/>
      <c r="I390" s="1092"/>
      <c r="J390" s="1092"/>
      <c r="K390" s="1093" t="s">
        <v>611</v>
      </c>
      <c r="L390" s="1094">
        <f>+L391+L392</f>
        <v>0</v>
      </c>
      <c r="M390" s="1094">
        <f t="shared" ref="M390:Z390" si="147">+M391+M392</f>
        <v>0</v>
      </c>
      <c r="N390" s="1094">
        <f t="shared" si="147"/>
        <v>0</v>
      </c>
      <c r="O390" s="1094">
        <f t="shared" si="145"/>
        <v>0</v>
      </c>
      <c r="P390" s="1094">
        <f t="shared" si="147"/>
        <v>0</v>
      </c>
      <c r="Q390" s="1094"/>
      <c r="R390" s="1094">
        <f t="shared" si="147"/>
        <v>0</v>
      </c>
      <c r="S390" s="1094"/>
      <c r="T390" s="1094">
        <f t="shared" si="147"/>
        <v>0</v>
      </c>
      <c r="U390" s="1094"/>
      <c r="V390" s="1094">
        <f t="shared" si="147"/>
        <v>0</v>
      </c>
      <c r="W390" s="1094"/>
      <c r="X390" s="1094">
        <f t="shared" si="147"/>
        <v>0</v>
      </c>
      <c r="Y390" s="1094">
        <f t="shared" si="147"/>
        <v>0</v>
      </c>
      <c r="Z390" s="1094">
        <f t="shared" si="147"/>
        <v>0</v>
      </c>
      <c r="AA390" s="1106">
        <f t="shared" si="130"/>
        <v>0</v>
      </c>
      <c r="AB390" s="1095" t="e">
        <f t="shared" si="146"/>
        <v>#DIV/0!</v>
      </c>
      <c r="AC390" s="1096"/>
    </row>
    <row r="391" spans="1:29" ht="22.5" hidden="1" customHeight="1" thickTop="1" thickBot="1" x14ac:dyDescent="0.3">
      <c r="A391" s="425">
        <v>1</v>
      </c>
      <c r="B391" s="505" t="s">
        <v>216</v>
      </c>
      <c r="C391" s="505" t="s">
        <v>227</v>
      </c>
      <c r="D391" s="505" t="s">
        <v>371</v>
      </c>
      <c r="E391" s="505" t="s">
        <v>305</v>
      </c>
      <c r="F391" s="505" t="s">
        <v>307</v>
      </c>
      <c r="G391" s="505"/>
      <c r="H391" s="505"/>
      <c r="I391" s="505"/>
      <c r="J391" s="505"/>
      <c r="K391" s="609" t="s">
        <v>612</v>
      </c>
      <c r="L391" s="1110"/>
      <c r="M391" s="1110"/>
      <c r="N391" s="1110"/>
      <c r="O391" s="1110">
        <f t="shared" si="145"/>
        <v>0</v>
      </c>
      <c r="P391" s="1110"/>
      <c r="Q391" s="1110"/>
      <c r="R391" s="1110"/>
      <c r="S391" s="1110"/>
      <c r="T391" s="1110"/>
      <c r="U391" s="1110"/>
      <c r="V391" s="1110"/>
      <c r="W391" s="1110"/>
      <c r="X391" s="1110"/>
      <c r="Y391" s="1110"/>
      <c r="Z391" s="1110"/>
      <c r="AA391" s="1106">
        <f t="shared" si="130"/>
        <v>0</v>
      </c>
      <c r="AB391" s="1113" t="e">
        <f t="shared" si="146"/>
        <v>#DIV/0!</v>
      </c>
      <c r="AC391" s="729"/>
    </row>
    <row r="392" spans="1:29" ht="22.5" hidden="1" customHeight="1" thickTop="1" thickBot="1" x14ac:dyDescent="0.3">
      <c r="A392" s="425">
        <v>1</v>
      </c>
      <c r="B392" s="505" t="s">
        <v>216</v>
      </c>
      <c r="C392" s="505" t="s">
        <v>227</v>
      </c>
      <c r="D392" s="505" t="s">
        <v>371</v>
      </c>
      <c r="E392" s="505" t="s">
        <v>305</v>
      </c>
      <c r="F392" s="505" t="s">
        <v>332</v>
      </c>
      <c r="G392" s="505"/>
      <c r="H392" s="505"/>
      <c r="I392" s="505"/>
      <c r="J392" s="505"/>
      <c r="K392" s="609" t="s">
        <v>613</v>
      </c>
      <c r="L392" s="1110"/>
      <c r="M392" s="1110"/>
      <c r="N392" s="1110"/>
      <c r="O392" s="1110">
        <f t="shared" si="145"/>
        <v>0</v>
      </c>
      <c r="P392" s="1110"/>
      <c r="Q392" s="1110"/>
      <c r="R392" s="1110"/>
      <c r="S392" s="1110"/>
      <c r="T392" s="1110"/>
      <c r="U392" s="1110"/>
      <c r="V392" s="1110"/>
      <c r="W392" s="1110"/>
      <c r="X392" s="1110"/>
      <c r="Y392" s="1110"/>
      <c r="Z392" s="1110"/>
      <c r="AA392" s="1106">
        <f t="shared" si="130"/>
        <v>0</v>
      </c>
      <c r="AB392" s="1113" t="e">
        <f t="shared" si="146"/>
        <v>#DIV/0!</v>
      </c>
      <c r="AC392" s="729"/>
    </row>
    <row r="393" spans="1:29" s="1097" customFormat="1" ht="22.5" customHeight="1" thickTop="1" thickBot="1" x14ac:dyDescent="0.3">
      <c r="A393" s="1091">
        <v>1</v>
      </c>
      <c r="B393" s="1092" t="s">
        <v>216</v>
      </c>
      <c r="C393" s="1092" t="s">
        <v>227</v>
      </c>
      <c r="D393" s="1092" t="s">
        <v>371</v>
      </c>
      <c r="E393" s="1092" t="s">
        <v>361</v>
      </c>
      <c r="F393" s="1092"/>
      <c r="G393" s="1092"/>
      <c r="H393" s="1092"/>
      <c r="I393" s="1092"/>
      <c r="J393" s="1092"/>
      <c r="K393" s="1093" t="s">
        <v>614</v>
      </c>
      <c r="L393" s="1094">
        <f>+L394+L395</f>
        <v>0</v>
      </c>
      <c r="M393" s="1094">
        <f t="shared" ref="M393:Z393" si="148">+M394+M395</f>
        <v>452665000</v>
      </c>
      <c r="N393" s="1094">
        <f t="shared" si="148"/>
        <v>0</v>
      </c>
      <c r="O393" s="1094">
        <f t="shared" si="148"/>
        <v>452665000</v>
      </c>
      <c r="P393" s="1094">
        <f t="shared" si="148"/>
        <v>0</v>
      </c>
      <c r="Q393" s="1094"/>
      <c r="R393" s="1094">
        <f t="shared" si="148"/>
        <v>452665000</v>
      </c>
      <c r="S393" s="1094"/>
      <c r="T393" s="1094">
        <f t="shared" si="148"/>
        <v>0</v>
      </c>
      <c r="U393" s="1094"/>
      <c r="V393" s="1094">
        <f t="shared" si="148"/>
        <v>0</v>
      </c>
      <c r="W393" s="1094"/>
      <c r="X393" s="1094">
        <f t="shared" si="148"/>
        <v>0</v>
      </c>
      <c r="Y393" s="1094">
        <f t="shared" si="148"/>
        <v>135799500</v>
      </c>
      <c r="Z393" s="1094">
        <f t="shared" si="148"/>
        <v>226332500</v>
      </c>
      <c r="AA393" s="1106">
        <f>+AA394</f>
        <v>0</v>
      </c>
      <c r="AB393" s="1095" t="e">
        <f t="shared" si="146"/>
        <v>#DIV/0!</v>
      </c>
      <c r="AC393" s="1096"/>
    </row>
    <row r="394" spans="1:29" ht="22.5" customHeight="1" thickTop="1" thickBot="1" x14ac:dyDescent="0.3">
      <c r="A394" s="425">
        <v>1</v>
      </c>
      <c r="B394" s="505" t="s">
        <v>216</v>
      </c>
      <c r="C394" s="505" t="s">
        <v>227</v>
      </c>
      <c r="D394" s="505" t="s">
        <v>371</v>
      </c>
      <c r="E394" s="505" t="s">
        <v>361</v>
      </c>
      <c r="F394" s="505" t="s">
        <v>307</v>
      </c>
      <c r="G394" s="505"/>
      <c r="H394" s="505"/>
      <c r="I394" s="505"/>
      <c r="J394" s="505"/>
      <c r="K394" s="1108" t="s">
        <v>615</v>
      </c>
      <c r="L394" s="1110">
        <f>+'[6]EJECUCION DE INGRESOS A CORTE 3'!D20</f>
        <v>0</v>
      </c>
      <c r="M394" s="1110">
        <f>+'[6]EJECUCION DE INGRESOS A CORTE 3'!E20</f>
        <v>452665000</v>
      </c>
      <c r="N394" s="1110"/>
      <c r="O394" s="1111">
        <f>+L394+M394-N394</f>
        <v>452665000</v>
      </c>
      <c r="P394" s="1110"/>
      <c r="Q394" s="1110"/>
      <c r="R394" s="1111">
        <f>+O394*S394</f>
        <v>452665000</v>
      </c>
      <c r="S394" s="745">
        <v>1</v>
      </c>
      <c r="T394" s="1110"/>
      <c r="U394" s="1110"/>
      <c r="V394" s="1110"/>
      <c r="W394" s="1110"/>
      <c r="X394" s="1110"/>
      <c r="Y394" s="1110">
        <v>135799500</v>
      </c>
      <c r="Z394" s="1110">
        <v>226332500</v>
      </c>
      <c r="AA394" s="1106">
        <v>0</v>
      </c>
      <c r="AB394" s="1113" t="e">
        <f t="shared" si="146"/>
        <v>#DIV/0!</v>
      </c>
      <c r="AC394" s="729"/>
    </row>
    <row r="395" spans="1:29" ht="28.5" hidden="1" customHeight="1" thickTop="1" thickBot="1" x14ac:dyDescent="0.3">
      <c r="A395" s="425">
        <v>1</v>
      </c>
      <c r="B395" s="505" t="s">
        <v>216</v>
      </c>
      <c r="C395" s="505" t="s">
        <v>227</v>
      </c>
      <c r="D395" s="505" t="s">
        <v>371</v>
      </c>
      <c r="E395" s="505" t="s">
        <v>361</v>
      </c>
      <c r="F395" s="505" t="s">
        <v>332</v>
      </c>
      <c r="G395" s="505"/>
      <c r="H395" s="505"/>
      <c r="I395" s="505"/>
      <c r="J395" s="505"/>
      <c r="K395" s="609" t="s">
        <v>616</v>
      </c>
      <c r="L395" s="1110"/>
      <c r="M395" s="1110"/>
      <c r="N395" s="1110"/>
      <c r="O395" s="1110">
        <f>+L395+M395-N395</f>
        <v>0</v>
      </c>
      <c r="P395" s="1110"/>
      <c r="Q395" s="1110"/>
      <c r="R395" s="1110"/>
      <c r="S395" s="1110"/>
      <c r="T395" s="1110"/>
      <c r="U395" s="1110"/>
      <c r="V395" s="1110"/>
      <c r="W395" s="1110"/>
      <c r="X395" s="1110"/>
      <c r="Y395" s="1110"/>
      <c r="Z395" s="1110"/>
      <c r="AA395" s="1106">
        <f t="shared" ref="AA395:AA458" si="149">+Y395+Z395</f>
        <v>0</v>
      </c>
      <c r="AB395" s="1113" t="e">
        <f t="shared" si="146"/>
        <v>#DIV/0!</v>
      </c>
      <c r="AC395" s="729"/>
    </row>
    <row r="396" spans="1:29" s="1090" customFormat="1" ht="22.5" customHeight="1" thickTop="1" thickBot="1" x14ac:dyDescent="0.3">
      <c r="A396" s="1086">
        <v>1</v>
      </c>
      <c r="B396" s="421" t="s">
        <v>216</v>
      </c>
      <c r="C396" s="421" t="s">
        <v>227</v>
      </c>
      <c r="D396" s="421" t="s">
        <v>376</v>
      </c>
      <c r="E396" s="421"/>
      <c r="F396" s="421"/>
      <c r="G396" s="421"/>
      <c r="H396" s="421"/>
      <c r="I396" s="421"/>
      <c r="J396" s="421"/>
      <c r="K396" s="1087" t="s">
        <v>617</v>
      </c>
      <c r="L396" s="1088">
        <f>+L397+L398+L399+L400+L401+L402</f>
        <v>17124180608</v>
      </c>
      <c r="M396" s="1088">
        <f t="shared" ref="M396:X396" si="150">+M397+M398+M399+M400+M401+M402</f>
        <v>0</v>
      </c>
      <c r="N396" s="1088">
        <f t="shared" si="150"/>
        <v>0</v>
      </c>
      <c r="O396" s="1088">
        <f t="shared" si="150"/>
        <v>17124180608</v>
      </c>
      <c r="P396" s="1088">
        <f t="shared" si="150"/>
        <v>11345344869.479992</v>
      </c>
      <c r="Q396" s="1088"/>
      <c r="R396" s="1088">
        <f t="shared" si="150"/>
        <v>3898816425.5200071</v>
      </c>
      <c r="S396" s="1088"/>
      <c r="T396" s="1088">
        <f t="shared" si="150"/>
        <v>0</v>
      </c>
      <c r="U396" s="1088"/>
      <c r="V396" s="1088">
        <f t="shared" si="150"/>
        <v>1880019313</v>
      </c>
      <c r="W396" s="1088"/>
      <c r="X396" s="1088">
        <f t="shared" si="150"/>
        <v>0</v>
      </c>
      <c r="Y396" s="1088">
        <f>+Y397</f>
        <v>2212315220</v>
      </c>
      <c r="Z396" s="1132">
        <f>+Z397</f>
        <v>8637317598</v>
      </c>
      <c r="AA396" s="1106">
        <f t="shared" si="149"/>
        <v>10849632818</v>
      </c>
      <c r="AB396" s="1089" t="e">
        <f t="shared" si="146"/>
        <v>#DIV/0!</v>
      </c>
      <c r="AC396" s="511"/>
    </row>
    <row r="397" spans="1:29" ht="22.5" customHeight="1" thickTop="1" thickBot="1" x14ac:dyDescent="0.3">
      <c r="A397" s="425"/>
      <c r="B397" s="505"/>
      <c r="C397" s="505"/>
      <c r="D397" s="505"/>
      <c r="E397" s="505"/>
      <c r="F397" s="505"/>
      <c r="G397" s="505"/>
      <c r="H397" s="505"/>
      <c r="I397" s="505"/>
      <c r="J397" s="505"/>
      <c r="K397" s="1108" t="s">
        <v>2639</v>
      </c>
      <c r="L397" s="1110">
        <f>+'[6]EJECUCION DE INGRESOS A CORTE 3'!D23</f>
        <v>17124180608</v>
      </c>
      <c r="M397" s="1110"/>
      <c r="N397" s="1106"/>
      <c r="O397" s="1111">
        <f t="shared" ref="O397:O402" si="151">+L397+M397-N397</f>
        <v>17124180608</v>
      </c>
      <c r="P397" s="1145">
        <f>+O397-(R397+V397)</f>
        <v>11345344869.479992</v>
      </c>
      <c r="Q397" s="1146">
        <f>+P397/O397</f>
        <v>0.66253359090242969</v>
      </c>
      <c r="R397" s="1145">
        <v>3898816425.5200071</v>
      </c>
      <c r="S397" s="1147">
        <f>+R397/O397</f>
        <v>0.2276790063577451</v>
      </c>
      <c r="T397" s="1106"/>
      <c r="U397" s="1106"/>
      <c r="V397" s="1145">
        <v>1880019313</v>
      </c>
      <c r="W397" s="1148">
        <f>+V397/O397</f>
        <v>0.10978740273982515</v>
      </c>
      <c r="X397" s="1106"/>
      <c r="Y397" s="1110">
        <v>2212315220</v>
      </c>
      <c r="Z397" s="1112">
        <v>8637317598</v>
      </c>
      <c r="AA397" s="1106">
        <f t="shared" si="149"/>
        <v>10849632818</v>
      </c>
      <c r="AB397" s="1113" t="e">
        <f t="shared" si="146"/>
        <v>#DIV/0!</v>
      </c>
      <c r="AC397" s="729"/>
    </row>
    <row r="398" spans="1:29" ht="22.5" hidden="1" customHeight="1" thickTop="1" thickBot="1" x14ac:dyDescent="0.3">
      <c r="A398" s="425">
        <v>1</v>
      </c>
      <c r="B398" s="505" t="s">
        <v>216</v>
      </c>
      <c r="C398" s="505" t="s">
        <v>227</v>
      </c>
      <c r="D398" s="505" t="s">
        <v>376</v>
      </c>
      <c r="E398" s="505" t="s">
        <v>220</v>
      </c>
      <c r="F398" s="505"/>
      <c r="G398" s="505"/>
      <c r="H398" s="505"/>
      <c r="I398" s="505"/>
      <c r="J398" s="505"/>
      <c r="K398" s="609" t="s">
        <v>618</v>
      </c>
      <c r="L398" s="1110"/>
      <c r="M398" s="1110"/>
      <c r="N398" s="1110"/>
      <c r="O398" s="1110">
        <f t="shared" si="151"/>
        <v>0</v>
      </c>
      <c r="P398" s="1110"/>
      <c r="Q398" s="1110"/>
      <c r="R398" s="1110"/>
      <c r="S398" s="1110"/>
      <c r="T398" s="1110"/>
      <c r="U398" s="1110"/>
      <c r="V398" s="1110"/>
      <c r="W398" s="1110"/>
      <c r="X398" s="1110"/>
      <c r="Y398" s="1110"/>
      <c r="Z398" s="1110"/>
      <c r="AA398" s="1106">
        <f t="shared" si="149"/>
        <v>0</v>
      </c>
      <c r="AB398" s="1113" t="e">
        <f t="shared" si="146"/>
        <v>#DIV/0!</v>
      </c>
      <c r="AC398" s="729"/>
    </row>
    <row r="399" spans="1:29" ht="22.5" hidden="1" customHeight="1" thickTop="1" thickBot="1" x14ac:dyDescent="0.3">
      <c r="A399" s="425">
        <v>1</v>
      </c>
      <c r="B399" s="505" t="s">
        <v>216</v>
      </c>
      <c r="C399" s="505" t="s">
        <v>227</v>
      </c>
      <c r="D399" s="505" t="s">
        <v>376</v>
      </c>
      <c r="E399" s="505" t="s">
        <v>231</v>
      </c>
      <c r="F399" s="505"/>
      <c r="G399" s="505"/>
      <c r="H399" s="505"/>
      <c r="I399" s="505"/>
      <c r="J399" s="505"/>
      <c r="K399" s="609" t="s">
        <v>619</v>
      </c>
      <c r="L399" s="1110"/>
      <c r="M399" s="1110"/>
      <c r="N399" s="1110"/>
      <c r="O399" s="1110">
        <f t="shared" si="151"/>
        <v>0</v>
      </c>
      <c r="P399" s="1110"/>
      <c r="Q399" s="1110"/>
      <c r="R399" s="1110"/>
      <c r="S399" s="1110"/>
      <c r="T399" s="1110"/>
      <c r="U399" s="1110"/>
      <c r="V399" s="1110"/>
      <c r="W399" s="1110"/>
      <c r="X399" s="1110"/>
      <c r="Y399" s="1110"/>
      <c r="Z399" s="1110"/>
      <c r="AA399" s="1106">
        <f t="shared" si="149"/>
        <v>0</v>
      </c>
      <c r="AB399" s="1113" t="e">
        <f t="shared" si="146"/>
        <v>#DIV/0!</v>
      </c>
      <c r="AC399" s="729"/>
    </row>
    <row r="400" spans="1:29" ht="22.5" hidden="1" customHeight="1" thickTop="1" thickBot="1" x14ac:dyDescent="0.3">
      <c r="A400" s="425">
        <v>1</v>
      </c>
      <c r="B400" s="505" t="s">
        <v>216</v>
      </c>
      <c r="C400" s="505" t="s">
        <v>227</v>
      </c>
      <c r="D400" s="505" t="s">
        <v>376</v>
      </c>
      <c r="E400" s="505" t="s">
        <v>305</v>
      </c>
      <c r="F400" s="505"/>
      <c r="G400" s="505"/>
      <c r="H400" s="505"/>
      <c r="I400" s="505"/>
      <c r="J400" s="505"/>
      <c r="K400" s="609" t="s">
        <v>620</v>
      </c>
      <c r="L400" s="1110"/>
      <c r="M400" s="1110"/>
      <c r="N400" s="1110"/>
      <c r="O400" s="1110">
        <f t="shared" si="151"/>
        <v>0</v>
      </c>
      <c r="P400" s="1110"/>
      <c r="Q400" s="1110"/>
      <c r="R400" s="1110"/>
      <c r="S400" s="1110"/>
      <c r="T400" s="1110"/>
      <c r="U400" s="1110"/>
      <c r="V400" s="1110"/>
      <c r="W400" s="1110"/>
      <c r="X400" s="1110"/>
      <c r="Y400" s="1110"/>
      <c r="Z400" s="1110"/>
      <c r="AA400" s="1106">
        <f t="shared" si="149"/>
        <v>0</v>
      </c>
      <c r="AB400" s="1113" t="e">
        <f t="shared" si="146"/>
        <v>#DIV/0!</v>
      </c>
      <c r="AC400" s="729"/>
    </row>
    <row r="401" spans="1:29" ht="22.5" hidden="1" customHeight="1" thickTop="1" thickBot="1" x14ac:dyDescent="0.3">
      <c r="A401" s="425">
        <v>1</v>
      </c>
      <c r="B401" s="505" t="s">
        <v>216</v>
      </c>
      <c r="C401" s="505" t="s">
        <v>227</v>
      </c>
      <c r="D401" s="505" t="s">
        <v>376</v>
      </c>
      <c r="E401" s="505" t="s">
        <v>313</v>
      </c>
      <c r="F401" s="505"/>
      <c r="G401" s="505"/>
      <c r="H401" s="505"/>
      <c r="I401" s="505"/>
      <c r="J401" s="505"/>
      <c r="K401" s="609" t="s">
        <v>621</v>
      </c>
      <c r="L401" s="1110"/>
      <c r="M401" s="1110"/>
      <c r="N401" s="1110"/>
      <c r="O401" s="1110">
        <f t="shared" si="151"/>
        <v>0</v>
      </c>
      <c r="P401" s="1110"/>
      <c r="Q401" s="1110"/>
      <c r="R401" s="1110"/>
      <c r="S401" s="1110"/>
      <c r="T401" s="1110"/>
      <c r="U401" s="1110"/>
      <c r="V401" s="1110"/>
      <c r="W401" s="1110"/>
      <c r="X401" s="1110"/>
      <c r="Y401" s="1110"/>
      <c r="Z401" s="1110"/>
      <c r="AA401" s="1106">
        <f t="shared" si="149"/>
        <v>0</v>
      </c>
      <c r="AB401" s="1113" t="e">
        <f t="shared" si="146"/>
        <v>#DIV/0!</v>
      </c>
      <c r="AC401" s="729"/>
    </row>
    <row r="402" spans="1:29" ht="22.5" hidden="1" customHeight="1" thickTop="1" thickBot="1" x14ac:dyDescent="0.3">
      <c r="A402" s="425">
        <v>1</v>
      </c>
      <c r="B402" s="505" t="s">
        <v>216</v>
      </c>
      <c r="C402" s="505" t="s">
        <v>227</v>
      </c>
      <c r="D402" s="505" t="s">
        <v>376</v>
      </c>
      <c r="E402" s="505" t="s">
        <v>243</v>
      </c>
      <c r="F402" s="505"/>
      <c r="G402" s="505"/>
      <c r="H402" s="505"/>
      <c r="I402" s="505"/>
      <c r="J402" s="505"/>
      <c r="K402" s="609" t="s">
        <v>622</v>
      </c>
      <c r="L402" s="1110"/>
      <c r="M402" s="1110"/>
      <c r="N402" s="1110"/>
      <c r="O402" s="1110">
        <f t="shared" si="151"/>
        <v>0</v>
      </c>
      <c r="P402" s="1110"/>
      <c r="Q402" s="1110"/>
      <c r="R402" s="1110"/>
      <c r="S402" s="1110"/>
      <c r="T402" s="1110"/>
      <c r="U402" s="1110"/>
      <c r="V402" s="1110"/>
      <c r="W402" s="1110"/>
      <c r="X402" s="1110"/>
      <c r="Y402" s="1110"/>
      <c r="Z402" s="1110"/>
      <c r="AA402" s="1106">
        <f t="shared" si="149"/>
        <v>0</v>
      </c>
      <c r="AB402" s="1113" t="e">
        <f t="shared" si="146"/>
        <v>#DIV/0!</v>
      </c>
      <c r="AC402" s="729"/>
    </row>
    <row r="403" spans="1:29" s="1090" customFormat="1" ht="22.5" customHeight="1" thickTop="1" thickBot="1" x14ac:dyDescent="0.3">
      <c r="A403" s="1086">
        <v>1</v>
      </c>
      <c r="B403" s="421" t="s">
        <v>216</v>
      </c>
      <c r="C403" s="421" t="s">
        <v>227</v>
      </c>
      <c r="D403" s="421" t="s">
        <v>381</v>
      </c>
      <c r="E403" s="421"/>
      <c r="F403" s="421"/>
      <c r="G403" s="421"/>
      <c r="H403" s="421"/>
      <c r="I403" s="421"/>
      <c r="J403" s="421"/>
      <c r="K403" s="1087" t="s">
        <v>623</v>
      </c>
      <c r="L403" s="1088">
        <f>+L404+L405+L503</f>
        <v>0</v>
      </c>
      <c r="M403" s="1088">
        <f t="shared" ref="M403:Z403" si="152">+M404+M405</f>
        <v>25182785552</v>
      </c>
      <c r="N403" s="1088">
        <f t="shared" si="152"/>
        <v>0</v>
      </c>
      <c r="O403" s="1088">
        <f t="shared" si="152"/>
        <v>25182785552</v>
      </c>
      <c r="P403" s="1088">
        <f t="shared" si="152"/>
        <v>755483566.55999994</v>
      </c>
      <c r="Q403" s="1088"/>
      <c r="R403" s="1088">
        <f t="shared" si="152"/>
        <v>24427301985.439999</v>
      </c>
      <c r="S403" s="1088"/>
      <c r="T403" s="1088">
        <f t="shared" si="152"/>
        <v>0</v>
      </c>
      <c r="U403" s="1088"/>
      <c r="V403" s="1088">
        <f t="shared" si="152"/>
        <v>0</v>
      </c>
      <c r="W403" s="1088"/>
      <c r="X403" s="1088">
        <f t="shared" si="152"/>
        <v>0</v>
      </c>
      <c r="Y403" s="1088">
        <f t="shared" si="152"/>
        <v>0</v>
      </c>
      <c r="Z403" s="1088">
        <f t="shared" si="152"/>
        <v>25182785552</v>
      </c>
      <c r="AA403" s="1106">
        <f t="shared" si="149"/>
        <v>25182785552</v>
      </c>
      <c r="AB403" s="1089" t="e">
        <f t="shared" si="146"/>
        <v>#DIV/0!</v>
      </c>
      <c r="AC403" s="511"/>
    </row>
    <row r="404" spans="1:29" s="1097" customFormat="1" ht="55.5" hidden="1" customHeight="1" thickTop="1" thickBot="1" x14ac:dyDescent="0.3">
      <c r="A404" s="1091">
        <v>1</v>
      </c>
      <c r="B404" s="1092" t="s">
        <v>216</v>
      </c>
      <c r="C404" s="1092" t="s">
        <v>227</v>
      </c>
      <c r="D404" s="1092" t="s">
        <v>381</v>
      </c>
      <c r="E404" s="1092" t="s">
        <v>220</v>
      </c>
      <c r="F404" s="1092"/>
      <c r="G404" s="1092"/>
      <c r="H404" s="1092"/>
      <c r="I404" s="1092"/>
      <c r="J404" s="1092"/>
      <c r="K404" s="1093" t="s">
        <v>624</v>
      </c>
      <c r="L404" s="1094"/>
      <c r="M404" s="1094"/>
      <c r="N404" s="1094"/>
      <c r="O404" s="1094">
        <f>+L404+M404-N404</f>
        <v>0</v>
      </c>
      <c r="P404" s="1094"/>
      <c r="Q404" s="1094"/>
      <c r="R404" s="1094"/>
      <c r="S404" s="1094"/>
      <c r="T404" s="1094"/>
      <c r="U404" s="1094"/>
      <c r="V404" s="1094"/>
      <c r="W404" s="1094"/>
      <c r="X404" s="1094"/>
      <c r="Y404" s="1094"/>
      <c r="Z404" s="1094"/>
      <c r="AA404" s="1106">
        <f t="shared" si="149"/>
        <v>0</v>
      </c>
      <c r="AB404" s="1095" t="e">
        <f t="shared" si="146"/>
        <v>#DIV/0!</v>
      </c>
      <c r="AC404" s="1096"/>
    </row>
    <row r="405" spans="1:29" s="1097" customFormat="1" ht="54" customHeight="1" thickTop="1" thickBot="1" x14ac:dyDescent="0.3">
      <c r="A405" s="1091">
        <v>1</v>
      </c>
      <c r="B405" s="1092" t="s">
        <v>216</v>
      </c>
      <c r="C405" s="1092" t="s">
        <v>227</v>
      </c>
      <c r="D405" s="1092" t="s">
        <v>381</v>
      </c>
      <c r="E405" s="1092" t="s">
        <v>231</v>
      </c>
      <c r="F405" s="1092"/>
      <c r="G405" s="1092"/>
      <c r="H405" s="1092"/>
      <c r="I405" s="1092"/>
      <c r="J405" s="1092"/>
      <c r="K405" s="1149" t="s">
        <v>625</v>
      </c>
      <c r="L405" s="1094">
        <f>+L406+L439+L471</f>
        <v>0</v>
      </c>
      <c r="M405" s="1094">
        <f>+'[6]EJECUCION DE INGRESOS A CORTE 3'!E24</f>
        <v>25182785552</v>
      </c>
      <c r="N405" s="1094">
        <f t="shared" ref="N405" si="153">+N406+N439+N471</f>
        <v>0</v>
      </c>
      <c r="O405" s="1140">
        <f>+L405+M405-N405</f>
        <v>25182785552</v>
      </c>
      <c r="P405" s="1150">
        <f>+O405*Q405</f>
        <v>755483566.55999994</v>
      </c>
      <c r="Q405" s="1143">
        <v>0.03</v>
      </c>
      <c r="R405" s="1150">
        <f>+O405*S405</f>
        <v>24427301985.439999</v>
      </c>
      <c r="S405" s="1143">
        <v>0.97</v>
      </c>
      <c r="T405" s="1094"/>
      <c r="U405" s="1094"/>
      <c r="V405" s="1094"/>
      <c r="W405" s="1094"/>
      <c r="X405" s="1094"/>
      <c r="Y405" s="1094"/>
      <c r="Z405" s="1094">
        <v>25182785552</v>
      </c>
      <c r="AA405" s="1106">
        <f t="shared" si="149"/>
        <v>25182785552</v>
      </c>
      <c r="AB405" s="1095" t="e">
        <f t="shared" si="146"/>
        <v>#DIV/0!</v>
      </c>
      <c r="AC405" s="1096"/>
    </row>
    <row r="406" spans="1:29" s="1128" customFormat="1" ht="3" customHeight="1" thickTop="1" thickBot="1" x14ac:dyDescent="0.3">
      <c r="A406" s="1121">
        <v>1</v>
      </c>
      <c r="B406" s="1122" t="s">
        <v>216</v>
      </c>
      <c r="C406" s="1122" t="s">
        <v>227</v>
      </c>
      <c r="D406" s="1122" t="s">
        <v>381</v>
      </c>
      <c r="E406" s="1122" t="s">
        <v>231</v>
      </c>
      <c r="F406" s="1122" t="s">
        <v>220</v>
      </c>
      <c r="G406" s="1122"/>
      <c r="H406" s="1122"/>
      <c r="I406" s="1122"/>
      <c r="J406" s="1122"/>
      <c r="K406" s="1124" t="s">
        <v>626</v>
      </c>
      <c r="L406" s="1125">
        <f>SUM(L407:L438)</f>
        <v>0</v>
      </c>
      <c r="M406" s="1125">
        <f t="shared" ref="M406:Z406" si="154">SUM(M407:M438)</f>
        <v>0</v>
      </c>
      <c r="N406" s="1125">
        <f t="shared" si="154"/>
        <v>0</v>
      </c>
      <c r="O406" s="1125">
        <f t="shared" si="154"/>
        <v>0</v>
      </c>
      <c r="P406" s="1125">
        <f t="shared" si="154"/>
        <v>0</v>
      </c>
      <c r="Q406" s="1125"/>
      <c r="R406" s="1125">
        <f t="shared" si="154"/>
        <v>0</v>
      </c>
      <c r="S406" s="1125"/>
      <c r="T406" s="1125">
        <f t="shared" si="154"/>
        <v>0</v>
      </c>
      <c r="U406" s="1125"/>
      <c r="V406" s="1125">
        <f t="shared" si="154"/>
        <v>0</v>
      </c>
      <c r="W406" s="1125"/>
      <c r="X406" s="1125">
        <f t="shared" si="154"/>
        <v>0</v>
      </c>
      <c r="Y406" s="1125">
        <f t="shared" si="154"/>
        <v>0</v>
      </c>
      <c r="Z406" s="1125">
        <f t="shared" si="154"/>
        <v>0</v>
      </c>
      <c r="AA406" s="1106">
        <f t="shared" si="149"/>
        <v>0</v>
      </c>
      <c r="AB406" s="1126" t="e">
        <f t="shared" si="146"/>
        <v>#DIV/0!</v>
      </c>
      <c r="AC406" s="1127"/>
    </row>
    <row r="407" spans="1:29" ht="22.5" hidden="1" customHeight="1" thickTop="1" thickBot="1" x14ac:dyDescent="0.3">
      <c r="A407" s="425">
        <v>1</v>
      </c>
      <c r="B407" s="505" t="s">
        <v>216</v>
      </c>
      <c r="C407" s="505" t="s">
        <v>227</v>
      </c>
      <c r="D407" s="505" t="s">
        <v>381</v>
      </c>
      <c r="E407" s="505" t="s">
        <v>231</v>
      </c>
      <c r="F407" s="505" t="s">
        <v>220</v>
      </c>
      <c r="G407" s="505" t="s">
        <v>220</v>
      </c>
      <c r="H407" s="505"/>
      <c r="I407" s="505"/>
      <c r="J407" s="505"/>
      <c r="K407" s="609" t="s">
        <v>627</v>
      </c>
      <c r="L407" s="1110"/>
      <c r="M407" s="1110"/>
      <c r="N407" s="1110"/>
      <c r="O407" s="1110">
        <f t="shared" ref="O407:O438" si="155">+L407+M407-N407</f>
        <v>0</v>
      </c>
      <c r="P407" s="1110"/>
      <c r="Q407" s="1110"/>
      <c r="R407" s="1110"/>
      <c r="S407" s="1110"/>
      <c r="T407" s="1110"/>
      <c r="U407" s="1110"/>
      <c r="V407" s="1110"/>
      <c r="W407" s="1110"/>
      <c r="X407" s="1110"/>
      <c r="Y407" s="1110"/>
      <c r="Z407" s="1110"/>
      <c r="AA407" s="1106">
        <f t="shared" si="149"/>
        <v>0</v>
      </c>
      <c r="AB407" s="1113" t="e">
        <f t="shared" si="146"/>
        <v>#DIV/0!</v>
      </c>
      <c r="AC407" s="729"/>
    </row>
    <row r="408" spans="1:29" ht="22.5" hidden="1" customHeight="1" thickTop="1" thickBot="1" x14ac:dyDescent="0.3">
      <c r="A408" s="425">
        <v>1</v>
      </c>
      <c r="B408" s="505" t="s">
        <v>216</v>
      </c>
      <c r="C408" s="505" t="s">
        <v>227</v>
      </c>
      <c r="D408" s="505" t="s">
        <v>381</v>
      </c>
      <c r="E408" s="505" t="s">
        <v>231</v>
      </c>
      <c r="F408" s="505" t="s">
        <v>220</v>
      </c>
      <c r="G408" s="505" t="s">
        <v>231</v>
      </c>
      <c r="H408" s="505"/>
      <c r="I408" s="505"/>
      <c r="J408" s="505"/>
      <c r="K408" s="609" t="s">
        <v>628</v>
      </c>
      <c r="L408" s="1110"/>
      <c r="M408" s="1110"/>
      <c r="N408" s="1110"/>
      <c r="O408" s="1110">
        <f t="shared" si="155"/>
        <v>0</v>
      </c>
      <c r="P408" s="1110"/>
      <c r="Q408" s="1110"/>
      <c r="R408" s="1110"/>
      <c r="S408" s="1110"/>
      <c r="T408" s="1110"/>
      <c r="U408" s="1110"/>
      <c r="V408" s="1110"/>
      <c r="W408" s="1110"/>
      <c r="X408" s="1110"/>
      <c r="Y408" s="1110"/>
      <c r="Z408" s="1110"/>
      <c r="AA408" s="1106">
        <f t="shared" si="149"/>
        <v>0</v>
      </c>
      <c r="AB408" s="1113" t="e">
        <f t="shared" si="146"/>
        <v>#DIV/0!</v>
      </c>
      <c r="AC408" s="729"/>
    </row>
    <row r="409" spans="1:29" ht="22.5" hidden="1" customHeight="1" thickTop="1" thickBot="1" x14ac:dyDescent="0.3">
      <c r="A409" s="425">
        <v>1</v>
      </c>
      <c r="B409" s="505" t="s">
        <v>216</v>
      </c>
      <c r="C409" s="505" t="s">
        <v>227</v>
      </c>
      <c r="D409" s="505" t="s">
        <v>381</v>
      </c>
      <c r="E409" s="505" t="s">
        <v>231</v>
      </c>
      <c r="F409" s="505" t="s">
        <v>220</v>
      </c>
      <c r="G409" s="505" t="s">
        <v>305</v>
      </c>
      <c r="H409" s="505"/>
      <c r="I409" s="505"/>
      <c r="J409" s="505"/>
      <c r="K409" s="609" t="s">
        <v>629</v>
      </c>
      <c r="L409" s="1110"/>
      <c r="M409" s="1110"/>
      <c r="N409" s="1110"/>
      <c r="O409" s="1110">
        <f t="shared" si="155"/>
        <v>0</v>
      </c>
      <c r="P409" s="1110"/>
      <c r="Q409" s="1110"/>
      <c r="R409" s="1110"/>
      <c r="S409" s="1110"/>
      <c r="T409" s="1110"/>
      <c r="U409" s="1110"/>
      <c r="V409" s="1110"/>
      <c r="W409" s="1110"/>
      <c r="X409" s="1110"/>
      <c r="Y409" s="1110"/>
      <c r="Z409" s="1110"/>
      <c r="AA409" s="1106">
        <f t="shared" si="149"/>
        <v>0</v>
      </c>
      <c r="AB409" s="1113" t="e">
        <f t="shared" si="146"/>
        <v>#DIV/0!</v>
      </c>
      <c r="AC409" s="729"/>
    </row>
    <row r="410" spans="1:29" ht="22.5" hidden="1" customHeight="1" thickTop="1" thickBot="1" x14ac:dyDescent="0.3">
      <c r="A410" s="425">
        <v>1</v>
      </c>
      <c r="B410" s="505" t="s">
        <v>216</v>
      </c>
      <c r="C410" s="505" t="s">
        <v>227</v>
      </c>
      <c r="D410" s="505" t="s">
        <v>381</v>
      </c>
      <c r="E410" s="505" t="s">
        <v>231</v>
      </c>
      <c r="F410" s="505" t="s">
        <v>220</v>
      </c>
      <c r="G410" s="505" t="s">
        <v>313</v>
      </c>
      <c r="H410" s="505"/>
      <c r="I410" s="505"/>
      <c r="J410" s="505"/>
      <c r="K410" s="609" t="s">
        <v>630</v>
      </c>
      <c r="L410" s="1110"/>
      <c r="M410" s="1110"/>
      <c r="N410" s="1110"/>
      <c r="O410" s="1110">
        <f t="shared" si="155"/>
        <v>0</v>
      </c>
      <c r="P410" s="1110"/>
      <c r="Q410" s="1110"/>
      <c r="R410" s="1110"/>
      <c r="S410" s="1110"/>
      <c r="T410" s="1110"/>
      <c r="U410" s="1110"/>
      <c r="V410" s="1110"/>
      <c r="W410" s="1110"/>
      <c r="X410" s="1110"/>
      <c r="Y410" s="1110"/>
      <c r="Z410" s="1110"/>
      <c r="AA410" s="1106">
        <f t="shared" si="149"/>
        <v>0</v>
      </c>
      <c r="AB410" s="1113" t="e">
        <f t="shared" si="146"/>
        <v>#DIV/0!</v>
      </c>
      <c r="AC410" s="729"/>
    </row>
    <row r="411" spans="1:29" ht="3" hidden="1" customHeight="1" thickTop="1" thickBot="1" x14ac:dyDescent="0.3">
      <c r="A411" s="425">
        <v>1</v>
      </c>
      <c r="B411" s="505" t="s">
        <v>216</v>
      </c>
      <c r="C411" s="505" t="s">
        <v>227</v>
      </c>
      <c r="D411" s="505" t="s">
        <v>381</v>
      </c>
      <c r="E411" s="505" t="s">
        <v>231</v>
      </c>
      <c r="F411" s="505" t="s">
        <v>220</v>
      </c>
      <c r="G411" s="505" t="s">
        <v>243</v>
      </c>
      <c r="H411" s="505"/>
      <c r="I411" s="505"/>
      <c r="J411" s="505"/>
      <c r="K411" s="609" t="s">
        <v>631</v>
      </c>
      <c r="L411" s="1110"/>
      <c r="M411" s="1110"/>
      <c r="N411" s="1110"/>
      <c r="O411" s="1110">
        <f t="shared" si="155"/>
        <v>0</v>
      </c>
      <c r="P411" s="1110"/>
      <c r="Q411" s="1110"/>
      <c r="R411" s="1110"/>
      <c r="S411" s="1110"/>
      <c r="T411" s="1110"/>
      <c r="U411" s="1110"/>
      <c r="V411" s="1110"/>
      <c r="W411" s="1110"/>
      <c r="X411" s="1110"/>
      <c r="Y411" s="1110"/>
      <c r="Z411" s="1110"/>
      <c r="AA411" s="1106">
        <f t="shared" si="149"/>
        <v>0</v>
      </c>
      <c r="AB411" s="1113" t="e">
        <f t="shared" si="146"/>
        <v>#DIV/0!</v>
      </c>
      <c r="AC411" s="729"/>
    </row>
    <row r="412" spans="1:29" ht="22.5" hidden="1" customHeight="1" thickTop="1" thickBot="1" x14ac:dyDescent="0.3">
      <c r="A412" s="425">
        <v>1</v>
      </c>
      <c r="B412" s="505" t="s">
        <v>216</v>
      </c>
      <c r="C412" s="505" t="s">
        <v>227</v>
      </c>
      <c r="D412" s="505" t="s">
        <v>381</v>
      </c>
      <c r="E412" s="505" t="s">
        <v>231</v>
      </c>
      <c r="F412" s="505" t="s">
        <v>220</v>
      </c>
      <c r="G412" s="505" t="s">
        <v>361</v>
      </c>
      <c r="H412" s="505"/>
      <c r="I412" s="505"/>
      <c r="J412" s="505"/>
      <c r="K412" s="609" t="s">
        <v>632</v>
      </c>
      <c r="L412" s="1110"/>
      <c r="M412" s="1110"/>
      <c r="N412" s="1110"/>
      <c r="O412" s="1110">
        <f t="shared" si="155"/>
        <v>0</v>
      </c>
      <c r="P412" s="1110"/>
      <c r="Q412" s="1110"/>
      <c r="R412" s="1110"/>
      <c r="S412" s="1110"/>
      <c r="T412" s="1110"/>
      <c r="U412" s="1110"/>
      <c r="V412" s="1110"/>
      <c r="W412" s="1110"/>
      <c r="X412" s="1110"/>
      <c r="Y412" s="1110"/>
      <c r="Z412" s="1110"/>
      <c r="AA412" s="1106">
        <f t="shared" si="149"/>
        <v>0</v>
      </c>
      <c r="AB412" s="1113" t="e">
        <f t="shared" si="146"/>
        <v>#DIV/0!</v>
      </c>
      <c r="AC412" s="729"/>
    </row>
    <row r="413" spans="1:29" ht="22.5" hidden="1" customHeight="1" thickTop="1" thickBot="1" x14ac:dyDescent="0.3">
      <c r="A413" s="425">
        <v>1</v>
      </c>
      <c r="B413" s="505" t="s">
        <v>216</v>
      </c>
      <c r="C413" s="505" t="s">
        <v>227</v>
      </c>
      <c r="D413" s="505" t="s">
        <v>381</v>
      </c>
      <c r="E413" s="505" t="s">
        <v>231</v>
      </c>
      <c r="F413" s="505" t="s">
        <v>220</v>
      </c>
      <c r="G413" s="505" t="s">
        <v>366</v>
      </c>
      <c r="H413" s="505"/>
      <c r="I413" s="505"/>
      <c r="J413" s="505"/>
      <c r="K413" s="609" t="s">
        <v>633</v>
      </c>
      <c r="L413" s="1110"/>
      <c r="M413" s="1110"/>
      <c r="N413" s="1110"/>
      <c r="O413" s="1110">
        <f t="shared" si="155"/>
        <v>0</v>
      </c>
      <c r="P413" s="1110"/>
      <c r="Q413" s="1110"/>
      <c r="R413" s="1110"/>
      <c r="S413" s="1110"/>
      <c r="T413" s="1110"/>
      <c r="U413" s="1110"/>
      <c r="V413" s="1110"/>
      <c r="W413" s="1110"/>
      <c r="X413" s="1110"/>
      <c r="Y413" s="1110"/>
      <c r="Z413" s="1110"/>
      <c r="AA413" s="1106">
        <f t="shared" si="149"/>
        <v>0</v>
      </c>
      <c r="AB413" s="1113" t="e">
        <f t="shared" si="146"/>
        <v>#DIV/0!</v>
      </c>
      <c r="AC413" s="729"/>
    </row>
    <row r="414" spans="1:29" ht="22.5" hidden="1" customHeight="1" thickTop="1" thickBot="1" x14ac:dyDescent="0.3">
      <c r="A414" s="425">
        <v>1</v>
      </c>
      <c r="B414" s="505" t="s">
        <v>216</v>
      </c>
      <c r="C414" s="505" t="s">
        <v>227</v>
      </c>
      <c r="D414" s="505" t="s">
        <v>381</v>
      </c>
      <c r="E414" s="505" t="s">
        <v>231</v>
      </c>
      <c r="F414" s="505" t="s">
        <v>220</v>
      </c>
      <c r="G414" s="505" t="s">
        <v>371</v>
      </c>
      <c r="H414" s="505"/>
      <c r="I414" s="505"/>
      <c r="J414" s="505"/>
      <c r="K414" s="609" t="s">
        <v>634</v>
      </c>
      <c r="L414" s="1110"/>
      <c r="M414" s="1110"/>
      <c r="N414" s="1110"/>
      <c r="O414" s="1110">
        <f t="shared" si="155"/>
        <v>0</v>
      </c>
      <c r="P414" s="1110"/>
      <c r="Q414" s="1110"/>
      <c r="R414" s="1110"/>
      <c r="S414" s="1110"/>
      <c r="T414" s="1110"/>
      <c r="U414" s="1110"/>
      <c r="V414" s="1110"/>
      <c r="W414" s="1110"/>
      <c r="X414" s="1110"/>
      <c r="Y414" s="1110"/>
      <c r="Z414" s="1110"/>
      <c r="AA414" s="1106">
        <f t="shared" si="149"/>
        <v>0</v>
      </c>
      <c r="AB414" s="1113" t="e">
        <f t="shared" si="146"/>
        <v>#DIV/0!</v>
      </c>
      <c r="AC414" s="729"/>
    </row>
    <row r="415" spans="1:29" ht="22.5" hidden="1" customHeight="1" thickTop="1" thickBot="1" x14ac:dyDescent="0.3">
      <c r="A415" s="425">
        <v>1</v>
      </c>
      <c r="B415" s="505" t="s">
        <v>216</v>
      </c>
      <c r="C415" s="505" t="s">
        <v>227</v>
      </c>
      <c r="D415" s="505" t="s">
        <v>381</v>
      </c>
      <c r="E415" s="505" t="s">
        <v>231</v>
      </c>
      <c r="F415" s="505" t="s">
        <v>220</v>
      </c>
      <c r="G415" s="505" t="s">
        <v>376</v>
      </c>
      <c r="H415" s="505"/>
      <c r="I415" s="505"/>
      <c r="J415" s="505"/>
      <c r="K415" s="609" t="s">
        <v>635</v>
      </c>
      <c r="L415" s="1110"/>
      <c r="M415" s="1110"/>
      <c r="N415" s="1110"/>
      <c r="O415" s="1110">
        <f t="shared" si="155"/>
        <v>0</v>
      </c>
      <c r="P415" s="1110"/>
      <c r="Q415" s="1110"/>
      <c r="R415" s="1110"/>
      <c r="S415" s="1110"/>
      <c r="T415" s="1110"/>
      <c r="U415" s="1110"/>
      <c r="V415" s="1110"/>
      <c r="W415" s="1110"/>
      <c r="X415" s="1110"/>
      <c r="Y415" s="1110"/>
      <c r="Z415" s="1110"/>
      <c r="AA415" s="1106">
        <f t="shared" si="149"/>
        <v>0</v>
      </c>
      <c r="AB415" s="1113" t="e">
        <f t="shared" si="146"/>
        <v>#DIV/0!</v>
      </c>
      <c r="AC415" s="729"/>
    </row>
    <row r="416" spans="1:29" ht="22.5" hidden="1" customHeight="1" thickTop="1" thickBot="1" x14ac:dyDescent="0.3">
      <c r="A416" s="425">
        <v>1</v>
      </c>
      <c r="B416" s="505" t="s">
        <v>216</v>
      </c>
      <c r="C416" s="505" t="s">
        <v>227</v>
      </c>
      <c r="D416" s="505" t="s">
        <v>381</v>
      </c>
      <c r="E416" s="505" t="s">
        <v>231</v>
      </c>
      <c r="F416" s="505" t="s">
        <v>220</v>
      </c>
      <c r="G416" s="505" t="s">
        <v>381</v>
      </c>
      <c r="H416" s="505"/>
      <c r="I416" s="505"/>
      <c r="J416" s="505"/>
      <c r="K416" s="609" t="s">
        <v>636</v>
      </c>
      <c r="L416" s="1110"/>
      <c r="M416" s="1110"/>
      <c r="N416" s="1110"/>
      <c r="O416" s="1110">
        <f t="shared" si="155"/>
        <v>0</v>
      </c>
      <c r="P416" s="1110"/>
      <c r="Q416" s="1110"/>
      <c r="R416" s="1110"/>
      <c r="S416" s="1110"/>
      <c r="T416" s="1110"/>
      <c r="U416" s="1110"/>
      <c r="V416" s="1110"/>
      <c r="W416" s="1110"/>
      <c r="X416" s="1110"/>
      <c r="Y416" s="1110"/>
      <c r="Z416" s="1110"/>
      <c r="AA416" s="1106">
        <f t="shared" si="149"/>
        <v>0</v>
      </c>
      <c r="AB416" s="1113" t="e">
        <f t="shared" si="146"/>
        <v>#DIV/0!</v>
      </c>
      <c r="AC416" s="729"/>
    </row>
    <row r="417" spans="1:29" ht="22.5" hidden="1" customHeight="1" thickTop="1" thickBot="1" x14ac:dyDescent="0.3">
      <c r="A417" s="425">
        <v>1</v>
      </c>
      <c r="B417" s="505" t="s">
        <v>216</v>
      </c>
      <c r="C417" s="505" t="s">
        <v>227</v>
      </c>
      <c r="D417" s="505" t="s">
        <v>381</v>
      </c>
      <c r="E417" s="505" t="s">
        <v>231</v>
      </c>
      <c r="F417" s="505" t="s">
        <v>220</v>
      </c>
      <c r="G417" s="505" t="s">
        <v>531</v>
      </c>
      <c r="H417" s="505"/>
      <c r="I417" s="505"/>
      <c r="J417" s="505"/>
      <c r="K417" s="609" t="s">
        <v>637</v>
      </c>
      <c r="L417" s="1110"/>
      <c r="M417" s="1110"/>
      <c r="N417" s="1110"/>
      <c r="O417" s="1110">
        <f t="shared" si="155"/>
        <v>0</v>
      </c>
      <c r="P417" s="1110"/>
      <c r="Q417" s="1110"/>
      <c r="R417" s="1110"/>
      <c r="S417" s="1110"/>
      <c r="T417" s="1110"/>
      <c r="U417" s="1110"/>
      <c r="V417" s="1110"/>
      <c r="W417" s="1110"/>
      <c r="X417" s="1110"/>
      <c r="Y417" s="1110"/>
      <c r="Z417" s="1110"/>
      <c r="AA417" s="1106">
        <f t="shared" si="149"/>
        <v>0</v>
      </c>
      <c r="AB417" s="1113" t="e">
        <f t="shared" si="146"/>
        <v>#DIV/0!</v>
      </c>
      <c r="AC417" s="729"/>
    </row>
    <row r="418" spans="1:29" ht="22.5" hidden="1" customHeight="1" thickTop="1" thickBot="1" x14ac:dyDescent="0.3">
      <c r="A418" s="425">
        <v>1</v>
      </c>
      <c r="B418" s="505" t="s">
        <v>216</v>
      </c>
      <c r="C418" s="505" t="s">
        <v>227</v>
      </c>
      <c r="D418" s="505" t="s">
        <v>381</v>
      </c>
      <c r="E418" s="505" t="s">
        <v>231</v>
      </c>
      <c r="F418" s="505" t="s">
        <v>220</v>
      </c>
      <c r="G418" s="505" t="s">
        <v>533</v>
      </c>
      <c r="H418" s="505"/>
      <c r="I418" s="505"/>
      <c r="J418" s="505"/>
      <c r="K418" s="609" t="s">
        <v>638</v>
      </c>
      <c r="L418" s="1110"/>
      <c r="M418" s="1110"/>
      <c r="N418" s="1110"/>
      <c r="O418" s="1110">
        <f t="shared" si="155"/>
        <v>0</v>
      </c>
      <c r="P418" s="1110"/>
      <c r="Q418" s="1110"/>
      <c r="R418" s="1110"/>
      <c r="S418" s="1110"/>
      <c r="T418" s="1110"/>
      <c r="U418" s="1110"/>
      <c r="V418" s="1110"/>
      <c r="W418" s="1110"/>
      <c r="X418" s="1110"/>
      <c r="Y418" s="1110"/>
      <c r="Z418" s="1110"/>
      <c r="AA418" s="1106">
        <f t="shared" si="149"/>
        <v>0</v>
      </c>
      <c r="AB418" s="1113" t="e">
        <f t="shared" si="146"/>
        <v>#DIV/0!</v>
      </c>
      <c r="AC418" s="729"/>
    </row>
    <row r="419" spans="1:29" ht="22.5" hidden="1" customHeight="1" thickTop="1" thickBot="1" x14ac:dyDescent="0.3">
      <c r="A419" s="425">
        <v>1</v>
      </c>
      <c r="B419" s="505" t="s">
        <v>216</v>
      </c>
      <c r="C419" s="505" t="s">
        <v>227</v>
      </c>
      <c r="D419" s="505" t="s">
        <v>381</v>
      </c>
      <c r="E419" s="505" t="s">
        <v>231</v>
      </c>
      <c r="F419" s="505" t="s">
        <v>220</v>
      </c>
      <c r="G419" s="505" t="s">
        <v>322</v>
      </c>
      <c r="H419" s="505"/>
      <c r="I419" s="505"/>
      <c r="J419" s="505"/>
      <c r="K419" s="609" t="s">
        <v>639</v>
      </c>
      <c r="L419" s="1110"/>
      <c r="M419" s="1110"/>
      <c r="N419" s="1110"/>
      <c r="O419" s="1110">
        <f t="shared" si="155"/>
        <v>0</v>
      </c>
      <c r="P419" s="1110"/>
      <c r="Q419" s="1110"/>
      <c r="R419" s="1110"/>
      <c r="S419" s="1110"/>
      <c r="T419" s="1110"/>
      <c r="U419" s="1110"/>
      <c r="V419" s="1110"/>
      <c r="W419" s="1110"/>
      <c r="X419" s="1110"/>
      <c r="Y419" s="1110"/>
      <c r="Z419" s="1110"/>
      <c r="AA419" s="1106">
        <f t="shared" si="149"/>
        <v>0</v>
      </c>
      <c r="AB419" s="1113" t="e">
        <f t="shared" si="146"/>
        <v>#DIV/0!</v>
      </c>
      <c r="AC419" s="729"/>
    </row>
    <row r="420" spans="1:29" ht="22.5" hidden="1" customHeight="1" thickTop="1" thickBot="1" x14ac:dyDescent="0.3">
      <c r="A420" s="425">
        <v>1</v>
      </c>
      <c r="B420" s="505" t="s">
        <v>216</v>
      </c>
      <c r="C420" s="505" t="s">
        <v>227</v>
      </c>
      <c r="D420" s="505" t="s">
        <v>381</v>
      </c>
      <c r="E420" s="505" t="s">
        <v>231</v>
      </c>
      <c r="F420" s="505" t="s">
        <v>220</v>
      </c>
      <c r="G420" s="505" t="s">
        <v>394</v>
      </c>
      <c r="H420" s="505"/>
      <c r="I420" s="505"/>
      <c r="J420" s="505"/>
      <c r="K420" s="609" t="s">
        <v>640</v>
      </c>
      <c r="L420" s="1110"/>
      <c r="M420" s="1110"/>
      <c r="N420" s="1110"/>
      <c r="O420" s="1110">
        <f t="shared" si="155"/>
        <v>0</v>
      </c>
      <c r="P420" s="1110"/>
      <c r="Q420" s="1110"/>
      <c r="R420" s="1110"/>
      <c r="S420" s="1110"/>
      <c r="T420" s="1110"/>
      <c r="U420" s="1110"/>
      <c r="V420" s="1110"/>
      <c r="W420" s="1110"/>
      <c r="X420" s="1110"/>
      <c r="Y420" s="1110"/>
      <c r="Z420" s="1110"/>
      <c r="AA420" s="1106">
        <f t="shared" si="149"/>
        <v>0</v>
      </c>
      <c r="AB420" s="1113" t="e">
        <f t="shared" si="146"/>
        <v>#DIV/0!</v>
      </c>
      <c r="AC420" s="729"/>
    </row>
    <row r="421" spans="1:29" ht="22.5" hidden="1" customHeight="1" thickTop="1" thickBot="1" x14ac:dyDescent="0.3">
      <c r="A421" s="425">
        <v>1</v>
      </c>
      <c r="B421" s="505" t="s">
        <v>216</v>
      </c>
      <c r="C421" s="505" t="s">
        <v>227</v>
      </c>
      <c r="D421" s="505" t="s">
        <v>381</v>
      </c>
      <c r="E421" s="505" t="s">
        <v>231</v>
      </c>
      <c r="F421" s="505" t="s">
        <v>220</v>
      </c>
      <c r="G421" s="505" t="s">
        <v>537</v>
      </c>
      <c r="H421" s="505"/>
      <c r="I421" s="505"/>
      <c r="J421" s="505"/>
      <c r="K421" s="609" t="s">
        <v>641</v>
      </c>
      <c r="L421" s="1110"/>
      <c r="M421" s="1110"/>
      <c r="N421" s="1110"/>
      <c r="O421" s="1110">
        <f t="shared" si="155"/>
        <v>0</v>
      </c>
      <c r="P421" s="1110"/>
      <c r="Q421" s="1110"/>
      <c r="R421" s="1110"/>
      <c r="S421" s="1110"/>
      <c r="T421" s="1110"/>
      <c r="U421" s="1110"/>
      <c r="V421" s="1110"/>
      <c r="W421" s="1110"/>
      <c r="X421" s="1110"/>
      <c r="Y421" s="1110"/>
      <c r="Z421" s="1110"/>
      <c r="AA421" s="1106">
        <f t="shared" si="149"/>
        <v>0</v>
      </c>
      <c r="AB421" s="1113" t="e">
        <f t="shared" si="146"/>
        <v>#DIV/0!</v>
      </c>
      <c r="AC421" s="729"/>
    </row>
    <row r="422" spans="1:29" ht="22.5" hidden="1" customHeight="1" thickTop="1" thickBot="1" x14ac:dyDescent="0.3">
      <c r="A422" s="425">
        <v>1</v>
      </c>
      <c r="B422" s="505" t="s">
        <v>216</v>
      </c>
      <c r="C422" s="505" t="s">
        <v>227</v>
      </c>
      <c r="D422" s="505" t="s">
        <v>381</v>
      </c>
      <c r="E422" s="505" t="s">
        <v>231</v>
      </c>
      <c r="F422" s="505" t="s">
        <v>220</v>
      </c>
      <c r="G422" s="505" t="s">
        <v>539</v>
      </c>
      <c r="H422" s="505"/>
      <c r="I422" s="505"/>
      <c r="J422" s="505"/>
      <c r="K422" s="609" t="s">
        <v>642</v>
      </c>
      <c r="L422" s="1110"/>
      <c r="M422" s="1110"/>
      <c r="N422" s="1110"/>
      <c r="O422" s="1110">
        <f t="shared" si="155"/>
        <v>0</v>
      </c>
      <c r="P422" s="1110"/>
      <c r="Q422" s="1110"/>
      <c r="R422" s="1110"/>
      <c r="S422" s="1110"/>
      <c r="T422" s="1110"/>
      <c r="U422" s="1110"/>
      <c r="V422" s="1110"/>
      <c r="W422" s="1110"/>
      <c r="X422" s="1110"/>
      <c r="Y422" s="1110"/>
      <c r="Z422" s="1110"/>
      <c r="AA422" s="1106">
        <f t="shared" si="149"/>
        <v>0</v>
      </c>
      <c r="AB422" s="1113" t="e">
        <f t="shared" si="146"/>
        <v>#DIV/0!</v>
      </c>
      <c r="AC422" s="729"/>
    </row>
    <row r="423" spans="1:29" ht="22.5" hidden="1" customHeight="1" thickTop="1" thickBot="1" x14ac:dyDescent="0.3">
      <c r="A423" s="425">
        <v>1</v>
      </c>
      <c r="B423" s="505" t="s">
        <v>216</v>
      </c>
      <c r="C423" s="505" t="s">
        <v>227</v>
      </c>
      <c r="D423" s="505" t="s">
        <v>381</v>
      </c>
      <c r="E423" s="505" t="s">
        <v>231</v>
      </c>
      <c r="F423" s="505" t="s">
        <v>220</v>
      </c>
      <c r="G423" s="505" t="s">
        <v>541</v>
      </c>
      <c r="H423" s="505"/>
      <c r="I423" s="505"/>
      <c r="J423" s="505"/>
      <c r="K423" s="609" t="s">
        <v>643</v>
      </c>
      <c r="L423" s="1110"/>
      <c r="M423" s="1110"/>
      <c r="N423" s="1110"/>
      <c r="O423" s="1110">
        <f t="shared" si="155"/>
        <v>0</v>
      </c>
      <c r="P423" s="1110"/>
      <c r="Q423" s="1110"/>
      <c r="R423" s="1110"/>
      <c r="S423" s="1110"/>
      <c r="T423" s="1110"/>
      <c r="U423" s="1110"/>
      <c r="V423" s="1110"/>
      <c r="W423" s="1110"/>
      <c r="X423" s="1110"/>
      <c r="Y423" s="1110"/>
      <c r="Z423" s="1110"/>
      <c r="AA423" s="1106">
        <f t="shared" si="149"/>
        <v>0</v>
      </c>
      <c r="AB423" s="1113" t="e">
        <f t="shared" si="146"/>
        <v>#DIV/0!</v>
      </c>
      <c r="AC423" s="729"/>
    </row>
    <row r="424" spans="1:29" ht="22.5" hidden="1" customHeight="1" thickTop="1" thickBot="1" x14ac:dyDescent="0.3">
      <c r="A424" s="425">
        <v>1</v>
      </c>
      <c r="B424" s="505" t="s">
        <v>216</v>
      </c>
      <c r="C424" s="505" t="s">
        <v>227</v>
      </c>
      <c r="D424" s="505" t="s">
        <v>381</v>
      </c>
      <c r="E424" s="505" t="s">
        <v>231</v>
      </c>
      <c r="F424" s="505" t="s">
        <v>220</v>
      </c>
      <c r="G424" s="505" t="s">
        <v>543</v>
      </c>
      <c r="H424" s="505"/>
      <c r="I424" s="505"/>
      <c r="J424" s="505"/>
      <c r="K424" s="609" t="s">
        <v>644</v>
      </c>
      <c r="L424" s="1110"/>
      <c r="M424" s="1110"/>
      <c r="N424" s="1110"/>
      <c r="O424" s="1110">
        <f t="shared" si="155"/>
        <v>0</v>
      </c>
      <c r="P424" s="1110"/>
      <c r="Q424" s="1110"/>
      <c r="R424" s="1110"/>
      <c r="S424" s="1110"/>
      <c r="T424" s="1110"/>
      <c r="U424" s="1110"/>
      <c r="V424" s="1110"/>
      <c r="W424" s="1110"/>
      <c r="X424" s="1110"/>
      <c r="Y424" s="1110"/>
      <c r="Z424" s="1110"/>
      <c r="AA424" s="1106">
        <f t="shared" si="149"/>
        <v>0</v>
      </c>
      <c r="AB424" s="1113" t="e">
        <f t="shared" si="146"/>
        <v>#DIV/0!</v>
      </c>
      <c r="AC424" s="729"/>
    </row>
    <row r="425" spans="1:29" ht="22.5" hidden="1" customHeight="1" thickTop="1" thickBot="1" x14ac:dyDescent="0.3">
      <c r="A425" s="425">
        <v>1</v>
      </c>
      <c r="B425" s="505" t="s">
        <v>216</v>
      </c>
      <c r="C425" s="505" t="s">
        <v>227</v>
      </c>
      <c r="D425" s="505" t="s">
        <v>381</v>
      </c>
      <c r="E425" s="505" t="s">
        <v>231</v>
      </c>
      <c r="F425" s="505" t="s">
        <v>220</v>
      </c>
      <c r="G425" s="505" t="s">
        <v>545</v>
      </c>
      <c r="H425" s="505"/>
      <c r="I425" s="505"/>
      <c r="J425" s="505"/>
      <c r="K425" s="609" t="s">
        <v>645</v>
      </c>
      <c r="L425" s="1110"/>
      <c r="M425" s="1110"/>
      <c r="N425" s="1110"/>
      <c r="O425" s="1110">
        <f t="shared" si="155"/>
        <v>0</v>
      </c>
      <c r="P425" s="1110"/>
      <c r="Q425" s="1110"/>
      <c r="R425" s="1110"/>
      <c r="S425" s="1110"/>
      <c r="T425" s="1110"/>
      <c r="U425" s="1110"/>
      <c r="V425" s="1110"/>
      <c r="W425" s="1110"/>
      <c r="X425" s="1110"/>
      <c r="Y425" s="1110"/>
      <c r="Z425" s="1110"/>
      <c r="AA425" s="1106">
        <f t="shared" si="149"/>
        <v>0</v>
      </c>
      <c r="AB425" s="1113" t="e">
        <f t="shared" si="146"/>
        <v>#DIV/0!</v>
      </c>
      <c r="AC425" s="729"/>
    </row>
    <row r="426" spans="1:29" ht="22.5" hidden="1" customHeight="1" thickTop="1" thickBot="1" x14ac:dyDescent="0.3">
      <c r="A426" s="425">
        <v>1</v>
      </c>
      <c r="B426" s="505" t="s">
        <v>216</v>
      </c>
      <c r="C426" s="505" t="s">
        <v>227</v>
      </c>
      <c r="D426" s="505" t="s">
        <v>381</v>
      </c>
      <c r="E426" s="505" t="s">
        <v>231</v>
      </c>
      <c r="F426" s="505" t="s">
        <v>220</v>
      </c>
      <c r="G426" s="505" t="s">
        <v>547</v>
      </c>
      <c r="H426" s="505"/>
      <c r="I426" s="505"/>
      <c r="J426" s="505"/>
      <c r="K426" s="609" t="s">
        <v>646</v>
      </c>
      <c r="L426" s="1110"/>
      <c r="M426" s="1110"/>
      <c r="N426" s="1110"/>
      <c r="O426" s="1110">
        <f t="shared" si="155"/>
        <v>0</v>
      </c>
      <c r="P426" s="1110"/>
      <c r="Q426" s="1110"/>
      <c r="R426" s="1110"/>
      <c r="S426" s="1110"/>
      <c r="T426" s="1110"/>
      <c r="U426" s="1110"/>
      <c r="V426" s="1110"/>
      <c r="W426" s="1110"/>
      <c r="X426" s="1110"/>
      <c r="Y426" s="1110"/>
      <c r="Z426" s="1110"/>
      <c r="AA426" s="1106">
        <f t="shared" si="149"/>
        <v>0</v>
      </c>
      <c r="AB426" s="1113" t="e">
        <f t="shared" si="146"/>
        <v>#DIV/0!</v>
      </c>
      <c r="AC426" s="729"/>
    </row>
    <row r="427" spans="1:29" ht="22.5" hidden="1" customHeight="1" thickTop="1" thickBot="1" x14ac:dyDescent="0.3">
      <c r="A427" s="425">
        <v>1</v>
      </c>
      <c r="B427" s="505" t="s">
        <v>216</v>
      </c>
      <c r="C427" s="505" t="s">
        <v>227</v>
      </c>
      <c r="D427" s="505" t="s">
        <v>381</v>
      </c>
      <c r="E427" s="505" t="s">
        <v>231</v>
      </c>
      <c r="F427" s="505" t="s">
        <v>220</v>
      </c>
      <c r="G427" s="505" t="s">
        <v>549</v>
      </c>
      <c r="H427" s="505"/>
      <c r="I427" s="505"/>
      <c r="J427" s="505"/>
      <c r="K427" s="609" t="s">
        <v>647</v>
      </c>
      <c r="L427" s="1110"/>
      <c r="M427" s="1110"/>
      <c r="N427" s="1110"/>
      <c r="O427" s="1110">
        <f t="shared" si="155"/>
        <v>0</v>
      </c>
      <c r="P427" s="1110"/>
      <c r="Q427" s="1110"/>
      <c r="R427" s="1110"/>
      <c r="S427" s="1110"/>
      <c r="T427" s="1110"/>
      <c r="U427" s="1110"/>
      <c r="V427" s="1110"/>
      <c r="W427" s="1110"/>
      <c r="X427" s="1110"/>
      <c r="Y427" s="1110"/>
      <c r="Z427" s="1110"/>
      <c r="AA427" s="1106">
        <f t="shared" si="149"/>
        <v>0</v>
      </c>
      <c r="AB427" s="1113" t="e">
        <f t="shared" si="146"/>
        <v>#DIV/0!</v>
      </c>
      <c r="AC427" s="729"/>
    </row>
    <row r="428" spans="1:29" ht="22.5" hidden="1" customHeight="1" thickTop="1" thickBot="1" x14ac:dyDescent="0.3">
      <c r="A428" s="425">
        <v>1</v>
      </c>
      <c r="B428" s="505" t="s">
        <v>216</v>
      </c>
      <c r="C428" s="505" t="s">
        <v>227</v>
      </c>
      <c r="D428" s="505" t="s">
        <v>381</v>
      </c>
      <c r="E428" s="505" t="s">
        <v>231</v>
      </c>
      <c r="F428" s="505" t="s">
        <v>220</v>
      </c>
      <c r="G428" s="505" t="s">
        <v>327</v>
      </c>
      <c r="H428" s="505"/>
      <c r="I428" s="505"/>
      <c r="J428" s="505"/>
      <c r="K428" s="609" t="s">
        <v>648</v>
      </c>
      <c r="L428" s="1110"/>
      <c r="M428" s="1110"/>
      <c r="N428" s="1110"/>
      <c r="O428" s="1110">
        <f t="shared" si="155"/>
        <v>0</v>
      </c>
      <c r="P428" s="1110"/>
      <c r="Q428" s="1110"/>
      <c r="R428" s="1110"/>
      <c r="S428" s="1110"/>
      <c r="T428" s="1110"/>
      <c r="U428" s="1110"/>
      <c r="V428" s="1110"/>
      <c r="W428" s="1110"/>
      <c r="X428" s="1110"/>
      <c r="Y428" s="1110"/>
      <c r="Z428" s="1110"/>
      <c r="AA428" s="1106">
        <f t="shared" si="149"/>
        <v>0</v>
      </c>
      <c r="AB428" s="1113" t="e">
        <f t="shared" si="146"/>
        <v>#DIV/0!</v>
      </c>
      <c r="AC428" s="729"/>
    </row>
    <row r="429" spans="1:29" ht="2.25" hidden="1" customHeight="1" thickTop="1" thickBot="1" x14ac:dyDescent="0.3">
      <c r="A429" s="425">
        <v>1</v>
      </c>
      <c r="B429" s="505" t="s">
        <v>216</v>
      </c>
      <c r="C429" s="505" t="s">
        <v>227</v>
      </c>
      <c r="D429" s="505" t="s">
        <v>381</v>
      </c>
      <c r="E429" s="505" t="s">
        <v>231</v>
      </c>
      <c r="F429" s="505" t="s">
        <v>220</v>
      </c>
      <c r="G429" s="505" t="s">
        <v>552</v>
      </c>
      <c r="H429" s="505"/>
      <c r="I429" s="505"/>
      <c r="J429" s="505"/>
      <c r="K429" s="609" t="s">
        <v>649</v>
      </c>
      <c r="L429" s="1110"/>
      <c r="M429" s="1110"/>
      <c r="N429" s="1110"/>
      <c r="O429" s="1110">
        <f t="shared" si="155"/>
        <v>0</v>
      </c>
      <c r="P429" s="1110"/>
      <c r="Q429" s="1110"/>
      <c r="R429" s="1110"/>
      <c r="S429" s="1110"/>
      <c r="T429" s="1110"/>
      <c r="U429" s="1110"/>
      <c r="V429" s="1110"/>
      <c r="W429" s="1110"/>
      <c r="X429" s="1110"/>
      <c r="Y429" s="1110"/>
      <c r="Z429" s="1110"/>
      <c r="AA429" s="1106">
        <f t="shared" si="149"/>
        <v>0</v>
      </c>
      <c r="AB429" s="1113" t="e">
        <f t="shared" si="146"/>
        <v>#DIV/0!</v>
      </c>
      <c r="AC429" s="729"/>
    </row>
    <row r="430" spans="1:29" ht="22.5" hidden="1" customHeight="1" thickTop="1" thickBot="1" x14ac:dyDescent="0.3">
      <c r="A430" s="425">
        <v>1</v>
      </c>
      <c r="B430" s="505" t="s">
        <v>216</v>
      </c>
      <c r="C430" s="505" t="s">
        <v>227</v>
      </c>
      <c r="D430" s="505" t="s">
        <v>381</v>
      </c>
      <c r="E430" s="505" t="s">
        <v>231</v>
      </c>
      <c r="F430" s="505" t="s">
        <v>220</v>
      </c>
      <c r="G430" s="505" t="s">
        <v>554</v>
      </c>
      <c r="H430" s="505"/>
      <c r="I430" s="505"/>
      <c r="J430" s="505"/>
      <c r="K430" s="609" t="s">
        <v>650</v>
      </c>
      <c r="L430" s="1110"/>
      <c r="M430" s="1110"/>
      <c r="N430" s="1110"/>
      <c r="O430" s="1110">
        <f t="shared" si="155"/>
        <v>0</v>
      </c>
      <c r="P430" s="1110"/>
      <c r="Q430" s="1110"/>
      <c r="R430" s="1110"/>
      <c r="S430" s="1110"/>
      <c r="T430" s="1110"/>
      <c r="U430" s="1110"/>
      <c r="V430" s="1110"/>
      <c r="W430" s="1110"/>
      <c r="X430" s="1110"/>
      <c r="Y430" s="1110"/>
      <c r="Z430" s="1110"/>
      <c r="AA430" s="1106">
        <f t="shared" si="149"/>
        <v>0</v>
      </c>
      <c r="AB430" s="1113" t="e">
        <f t="shared" si="146"/>
        <v>#DIV/0!</v>
      </c>
      <c r="AC430" s="729"/>
    </row>
    <row r="431" spans="1:29" ht="22.5" hidden="1" customHeight="1" thickTop="1" thickBot="1" x14ac:dyDescent="0.3">
      <c r="A431" s="425">
        <v>1</v>
      </c>
      <c r="B431" s="505" t="s">
        <v>216</v>
      </c>
      <c r="C431" s="505" t="s">
        <v>227</v>
      </c>
      <c r="D431" s="505" t="s">
        <v>381</v>
      </c>
      <c r="E431" s="505" t="s">
        <v>231</v>
      </c>
      <c r="F431" s="505" t="s">
        <v>220</v>
      </c>
      <c r="G431" s="505" t="s">
        <v>556</v>
      </c>
      <c r="H431" s="505"/>
      <c r="I431" s="505"/>
      <c r="J431" s="505"/>
      <c r="K431" s="609" t="s">
        <v>651</v>
      </c>
      <c r="L431" s="1110"/>
      <c r="M431" s="1110"/>
      <c r="N431" s="1110"/>
      <c r="O431" s="1110">
        <f t="shared" si="155"/>
        <v>0</v>
      </c>
      <c r="P431" s="1110"/>
      <c r="Q431" s="1110"/>
      <c r="R431" s="1110"/>
      <c r="S431" s="1110"/>
      <c r="T431" s="1110"/>
      <c r="U431" s="1110"/>
      <c r="V431" s="1110"/>
      <c r="W431" s="1110"/>
      <c r="X431" s="1110"/>
      <c r="Y431" s="1110"/>
      <c r="Z431" s="1110"/>
      <c r="AA431" s="1106">
        <f t="shared" si="149"/>
        <v>0</v>
      </c>
      <c r="AB431" s="1113" t="e">
        <f t="shared" si="146"/>
        <v>#DIV/0!</v>
      </c>
      <c r="AC431" s="729"/>
    </row>
    <row r="432" spans="1:29" ht="22.5" hidden="1" customHeight="1" thickTop="1" thickBot="1" x14ac:dyDescent="0.3">
      <c r="A432" s="425">
        <v>1</v>
      </c>
      <c r="B432" s="505" t="s">
        <v>216</v>
      </c>
      <c r="C432" s="505" t="s">
        <v>227</v>
      </c>
      <c r="D432" s="505" t="s">
        <v>381</v>
      </c>
      <c r="E432" s="505" t="s">
        <v>231</v>
      </c>
      <c r="F432" s="505" t="s">
        <v>220</v>
      </c>
      <c r="G432" s="505" t="s">
        <v>558</v>
      </c>
      <c r="H432" s="505"/>
      <c r="I432" s="505"/>
      <c r="J432" s="505"/>
      <c r="K432" s="609" t="s">
        <v>652</v>
      </c>
      <c r="L432" s="1110"/>
      <c r="M432" s="1110"/>
      <c r="N432" s="1110"/>
      <c r="O432" s="1110">
        <f t="shared" si="155"/>
        <v>0</v>
      </c>
      <c r="P432" s="1110"/>
      <c r="Q432" s="1110"/>
      <c r="R432" s="1110"/>
      <c r="S432" s="1110"/>
      <c r="T432" s="1110"/>
      <c r="U432" s="1110"/>
      <c r="V432" s="1110"/>
      <c r="W432" s="1110"/>
      <c r="X432" s="1110"/>
      <c r="Y432" s="1110"/>
      <c r="Z432" s="1110"/>
      <c r="AA432" s="1106">
        <f t="shared" si="149"/>
        <v>0</v>
      </c>
      <c r="AB432" s="1113" t="e">
        <f t="shared" si="146"/>
        <v>#DIV/0!</v>
      </c>
      <c r="AC432" s="729"/>
    </row>
    <row r="433" spans="1:29" ht="22.5" hidden="1" customHeight="1" thickTop="1" thickBot="1" x14ac:dyDescent="0.3">
      <c r="A433" s="425">
        <v>1</v>
      </c>
      <c r="B433" s="505" t="s">
        <v>216</v>
      </c>
      <c r="C433" s="505" t="s">
        <v>227</v>
      </c>
      <c r="D433" s="505" t="s">
        <v>381</v>
      </c>
      <c r="E433" s="505" t="s">
        <v>231</v>
      </c>
      <c r="F433" s="505" t="s">
        <v>220</v>
      </c>
      <c r="G433" s="505" t="s">
        <v>560</v>
      </c>
      <c r="H433" s="505"/>
      <c r="I433" s="505"/>
      <c r="J433" s="505"/>
      <c r="K433" s="609" t="s">
        <v>653</v>
      </c>
      <c r="L433" s="1110"/>
      <c r="M433" s="1110"/>
      <c r="N433" s="1110"/>
      <c r="O433" s="1110">
        <f t="shared" si="155"/>
        <v>0</v>
      </c>
      <c r="P433" s="1110"/>
      <c r="Q433" s="1110"/>
      <c r="R433" s="1110"/>
      <c r="S433" s="1110"/>
      <c r="T433" s="1110"/>
      <c r="U433" s="1110"/>
      <c r="V433" s="1110"/>
      <c r="W433" s="1110"/>
      <c r="X433" s="1110"/>
      <c r="Y433" s="1110"/>
      <c r="Z433" s="1110"/>
      <c r="AA433" s="1106">
        <f t="shared" si="149"/>
        <v>0</v>
      </c>
      <c r="AB433" s="1113" t="e">
        <f t="shared" si="146"/>
        <v>#DIV/0!</v>
      </c>
      <c r="AC433" s="729"/>
    </row>
    <row r="434" spans="1:29" ht="22.5" hidden="1" customHeight="1" thickTop="1" thickBot="1" x14ac:dyDescent="0.3">
      <c r="A434" s="425">
        <v>1</v>
      </c>
      <c r="B434" s="505" t="s">
        <v>216</v>
      </c>
      <c r="C434" s="505" t="s">
        <v>227</v>
      </c>
      <c r="D434" s="505" t="s">
        <v>381</v>
      </c>
      <c r="E434" s="505" t="s">
        <v>231</v>
      </c>
      <c r="F434" s="505" t="s">
        <v>220</v>
      </c>
      <c r="G434" s="505" t="s">
        <v>562</v>
      </c>
      <c r="H434" s="505"/>
      <c r="I434" s="505"/>
      <c r="J434" s="505"/>
      <c r="K434" s="609" t="s">
        <v>654</v>
      </c>
      <c r="L434" s="1110"/>
      <c r="M434" s="1110"/>
      <c r="N434" s="1110"/>
      <c r="O434" s="1110">
        <f t="shared" si="155"/>
        <v>0</v>
      </c>
      <c r="P434" s="1110"/>
      <c r="Q434" s="1110"/>
      <c r="R434" s="1110"/>
      <c r="S434" s="1110"/>
      <c r="T434" s="1110"/>
      <c r="U434" s="1110"/>
      <c r="V434" s="1110"/>
      <c r="W434" s="1110"/>
      <c r="X434" s="1110"/>
      <c r="Y434" s="1110"/>
      <c r="Z434" s="1110"/>
      <c r="AA434" s="1106">
        <f t="shared" si="149"/>
        <v>0</v>
      </c>
      <c r="AB434" s="1113" t="e">
        <f t="shared" si="146"/>
        <v>#DIV/0!</v>
      </c>
      <c r="AC434" s="729"/>
    </row>
    <row r="435" spans="1:29" ht="22.5" hidden="1" customHeight="1" thickTop="1" thickBot="1" x14ac:dyDescent="0.3">
      <c r="A435" s="425">
        <v>1</v>
      </c>
      <c r="B435" s="505" t="s">
        <v>216</v>
      </c>
      <c r="C435" s="505" t="s">
        <v>227</v>
      </c>
      <c r="D435" s="505" t="s">
        <v>381</v>
      </c>
      <c r="E435" s="505" t="s">
        <v>231</v>
      </c>
      <c r="F435" s="505" t="s">
        <v>220</v>
      </c>
      <c r="G435" s="505" t="s">
        <v>564</v>
      </c>
      <c r="H435" s="505"/>
      <c r="I435" s="505"/>
      <c r="J435" s="505"/>
      <c r="K435" s="609" t="s">
        <v>655</v>
      </c>
      <c r="L435" s="1110"/>
      <c r="M435" s="1110"/>
      <c r="N435" s="1110"/>
      <c r="O435" s="1110">
        <f t="shared" si="155"/>
        <v>0</v>
      </c>
      <c r="P435" s="1110"/>
      <c r="Q435" s="1110"/>
      <c r="R435" s="1110"/>
      <c r="S435" s="1110"/>
      <c r="T435" s="1110"/>
      <c r="U435" s="1110"/>
      <c r="V435" s="1110"/>
      <c r="W435" s="1110"/>
      <c r="X435" s="1110"/>
      <c r="Y435" s="1110"/>
      <c r="Z435" s="1110"/>
      <c r="AA435" s="1106">
        <f t="shared" si="149"/>
        <v>0</v>
      </c>
      <c r="AB435" s="1113" t="e">
        <f t="shared" si="146"/>
        <v>#DIV/0!</v>
      </c>
      <c r="AC435" s="729"/>
    </row>
    <row r="436" spans="1:29" ht="22.5" hidden="1" customHeight="1" thickTop="1" thickBot="1" x14ac:dyDescent="0.3">
      <c r="A436" s="425">
        <v>1</v>
      </c>
      <c r="B436" s="505" t="s">
        <v>216</v>
      </c>
      <c r="C436" s="505" t="s">
        <v>227</v>
      </c>
      <c r="D436" s="505" t="s">
        <v>381</v>
      </c>
      <c r="E436" s="505" t="s">
        <v>231</v>
      </c>
      <c r="F436" s="505" t="s">
        <v>220</v>
      </c>
      <c r="G436" s="505" t="s">
        <v>566</v>
      </c>
      <c r="H436" s="505"/>
      <c r="I436" s="505"/>
      <c r="J436" s="505"/>
      <c r="K436" s="609" t="s">
        <v>656</v>
      </c>
      <c r="L436" s="1110"/>
      <c r="M436" s="1110"/>
      <c r="N436" s="1110"/>
      <c r="O436" s="1110">
        <f t="shared" si="155"/>
        <v>0</v>
      </c>
      <c r="P436" s="1110"/>
      <c r="Q436" s="1110"/>
      <c r="R436" s="1110"/>
      <c r="S436" s="1110"/>
      <c r="T436" s="1110"/>
      <c r="U436" s="1110"/>
      <c r="V436" s="1110"/>
      <c r="W436" s="1110"/>
      <c r="X436" s="1110"/>
      <c r="Y436" s="1110"/>
      <c r="Z436" s="1110"/>
      <c r="AA436" s="1106">
        <f t="shared" si="149"/>
        <v>0</v>
      </c>
      <c r="AB436" s="1113" t="e">
        <f t="shared" si="146"/>
        <v>#DIV/0!</v>
      </c>
      <c r="AC436" s="729"/>
    </row>
    <row r="437" spans="1:29" ht="22.5" hidden="1" customHeight="1" thickTop="1" thickBot="1" x14ac:dyDescent="0.3">
      <c r="A437" s="425">
        <v>1</v>
      </c>
      <c r="B437" s="505" t="s">
        <v>216</v>
      </c>
      <c r="C437" s="505" t="s">
        <v>227</v>
      </c>
      <c r="D437" s="505" t="s">
        <v>381</v>
      </c>
      <c r="E437" s="505" t="s">
        <v>231</v>
      </c>
      <c r="F437" s="505" t="s">
        <v>220</v>
      </c>
      <c r="G437" s="505" t="s">
        <v>657</v>
      </c>
      <c r="H437" s="505"/>
      <c r="I437" s="505"/>
      <c r="J437" s="505"/>
      <c r="K437" s="609" t="s">
        <v>658</v>
      </c>
      <c r="L437" s="1110"/>
      <c r="M437" s="1110"/>
      <c r="N437" s="1110"/>
      <c r="O437" s="1110">
        <f t="shared" si="155"/>
        <v>0</v>
      </c>
      <c r="P437" s="1110"/>
      <c r="Q437" s="1110"/>
      <c r="R437" s="1110"/>
      <c r="S437" s="1110"/>
      <c r="T437" s="1110"/>
      <c r="U437" s="1110"/>
      <c r="V437" s="1110"/>
      <c r="W437" s="1110"/>
      <c r="X437" s="1110"/>
      <c r="Y437" s="1110"/>
      <c r="Z437" s="1110"/>
      <c r="AA437" s="1106">
        <f t="shared" si="149"/>
        <v>0</v>
      </c>
      <c r="AB437" s="1113" t="e">
        <f t="shared" si="146"/>
        <v>#DIV/0!</v>
      </c>
      <c r="AC437" s="729"/>
    </row>
    <row r="438" spans="1:29" ht="27" hidden="1" customHeight="1" thickTop="1" thickBot="1" x14ac:dyDescent="0.3">
      <c r="A438" s="425">
        <v>1</v>
      </c>
      <c r="B438" s="505" t="s">
        <v>216</v>
      </c>
      <c r="C438" s="505" t="s">
        <v>227</v>
      </c>
      <c r="D438" s="505" t="s">
        <v>381</v>
      </c>
      <c r="E438" s="505" t="s">
        <v>231</v>
      </c>
      <c r="F438" s="505" t="s">
        <v>220</v>
      </c>
      <c r="G438" s="505" t="s">
        <v>659</v>
      </c>
      <c r="H438" s="505"/>
      <c r="I438" s="505"/>
      <c r="J438" s="505"/>
      <c r="K438" s="609" t="s">
        <v>660</v>
      </c>
      <c r="L438" s="1110"/>
      <c r="M438" s="1110"/>
      <c r="N438" s="1110"/>
      <c r="O438" s="1110">
        <f t="shared" si="155"/>
        <v>0</v>
      </c>
      <c r="P438" s="1110"/>
      <c r="Q438" s="1110"/>
      <c r="R438" s="1110"/>
      <c r="S438" s="1110"/>
      <c r="T438" s="1110"/>
      <c r="U438" s="1110"/>
      <c r="V438" s="1110"/>
      <c r="W438" s="1110"/>
      <c r="X438" s="1110"/>
      <c r="Y438" s="1110"/>
      <c r="Z438" s="1110"/>
      <c r="AA438" s="1106">
        <f t="shared" si="149"/>
        <v>0</v>
      </c>
      <c r="AB438" s="1113" t="e">
        <f t="shared" si="146"/>
        <v>#DIV/0!</v>
      </c>
      <c r="AC438" s="729"/>
    </row>
    <row r="439" spans="1:29" s="1128" customFormat="1" ht="43.5" hidden="1" customHeight="1" thickTop="1" thickBot="1" x14ac:dyDescent="0.3">
      <c r="A439" s="1121">
        <v>1</v>
      </c>
      <c r="B439" s="1122" t="s">
        <v>216</v>
      </c>
      <c r="C439" s="1122" t="s">
        <v>227</v>
      </c>
      <c r="D439" s="1122" t="s">
        <v>381</v>
      </c>
      <c r="E439" s="1122" t="s">
        <v>231</v>
      </c>
      <c r="F439" s="1122" t="s">
        <v>231</v>
      </c>
      <c r="G439" s="1122"/>
      <c r="H439" s="1122"/>
      <c r="I439" s="1122"/>
      <c r="J439" s="1122"/>
      <c r="K439" s="1124" t="s">
        <v>661</v>
      </c>
      <c r="L439" s="1125">
        <f>SUM(L440:L470)</f>
        <v>0</v>
      </c>
      <c r="M439" s="1125">
        <f t="shared" ref="M439:Z439" si="156">SUM(M440:M470)</f>
        <v>0</v>
      </c>
      <c r="N439" s="1125">
        <f t="shared" si="156"/>
        <v>0</v>
      </c>
      <c r="O439" s="1125">
        <f t="shared" si="156"/>
        <v>0</v>
      </c>
      <c r="P439" s="1125">
        <f t="shared" si="156"/>
        <v>0</v>
      </c>
      <c r="Q439" s="1125"/>
      <c r="R439" s="1125">
        <f t="shared" si="156"/>
        <v>0</v>
      </c>
      <c r="S439" s="1125"/>
      <c r="T439" s="1125">
        <f t="shared" si="156"/>
        <v>0</v>
      </c>
      <c r="U439" s="1125"/>
      <c r="V439" s="1125">
        <f t="shared" si="156"/>
        <v>0</v>
      </c>
      <c r="W439" s="1125"/>
      <c r="X439" s="1125">
        <f t="shared" si="156"/>
        <v>0</v>
      </c>
      <c r="Y439" s="1125">
        <f t="shared" si="156"/>
        <v>0</v>
      </c>
      <c r="Z439" s="1125">
        <f t="shared" si="156"/>
        <v>0</v>
      </c>
      <c r="AA439" s="1106">
        <f t="shared" si="149"/>
        <v>0</v>
      </c>
      <c r="AB439" s="1126" t="e">
        <f t="shared" si="146"/>
        <v>#DIV/0!</v>
      </c>
      <c r="AC439" s="1127"/>
    </row>
    <row r="440" spans="1:29" ht="51" hidden="1" customHeight="1" thickTop="1" thickBot="1" x14ac:dyDescent="0.3">
      <c r="A440" s="425">
        <v>1</v>
      </c>
      <c r="B440" s="505" t="s">
        <v>216</v>
      </c>
      <c r="C440" s="505" t="s">
        <v>227</v>
      </c>
      <c r="D440" s="505" t="s">
        <v>381</v>
      </c>
      <c r="E440" s="505" t="s">
        <v>231</v>
      </c>
      <c r="F440" s="505" t="s">
        <v>231</v>
      </c>
      <c r="G440" s="505" t="s">
        <v>220</v>
      </c>
      <c r="H440" s="505"/>
      <c r="I440" s="505"/>
      <c r="J440" s="505"/>
      <c r="K440" s="609" t="s">
        <v>662</v>
      </c>
      <c r="L440" s="1110"/>
      <c r="M440" s="1110"/>
      <c r="N440" s="1110"/>
      <c r="O440" s="1110">
        <f t="shared" ref="O440:O470" si="157">+L440+M440-N440</f>
        <v>0</v>
      </c>
      <c r="P440" s="1110"/>
      <c r="Q440" s="1110"/>
      <c r="R440" s="1110"/>
      <c r="S440" s="1110"/>
      <c r="T440" s="1110"/>
      <c r="U440" s="1110"/>
      <c r="V440" s="1110"/>
      <c r="W440" s="1110"/>
      <c r="X440" s="1110"/>
      <c r="Y440" s="1110"/>
      <c r="Z440" s="1110"/>
      <c r="AA440" s="1106">
        <f t="shared" si="149"/>
        <v>0</v>
      </c>
      <c r="AB440" s="1113" t="e">
        <f t="shared" si="146"/>
        <v>#DIV/0!</v>
      </c>
      <c r="AC440" s="729"/>
    </row>
    <row r="441" spans="1:29" ht="42" hidden="1" customHeight="1" thickTop="1" thickBot="1" x14ac:dyDescent="0.3">
      <c r="A441" s="425">
        <v>1</v>
      </c>
      <c r="B441" s="505" t="s">
        <v>216</v>
      </c>
      <c r="C441" s="505" t="s">
        <v>227</v>
      </c>
      <c r="D441" s="505" t="s">
        <v>381</v>
      </c>
      <c r="E441" s="505" t="s">
        <v>231</v>
      </c>
      <c r="F441" s="505" t="s">
        <v>231</v>
      </c>
      <c r="G441" s="505" t="s">
        <v>231</v>
      </c>
      <c r="H441" s="505"/>
      <c r="I441" s="505"/>
      <c r="J441" s="505"/>
      <c r="K441" s="609" t="s">
        <v>663</v>
      </c>
      <c r="L441" s="1110"/>
      <c r="M441" s="1110"/>
      <c r="N441" s="1110"/>
      <c r="O441" s="1110">
        <f t="shared" si="157"/>
        <v>0</v>
      </c>
      <c r="P441" s="1110"/>
      <c r="Q441" s="1110"/>
      <c r="R441" s="1110"/>
      <c r="S441" s="1110"/>
      <c r="T441" s="1110"/>
      <c r="U441" s="1110"/>
      <c r="V441" s="1110"/>
      <c r="W441" s="1110"/>
      <c r="X441" s="1110"/>
      <c r="Y441" s="1110"/>
      <c r="Z441" s="1110"/>
      <c r="AA441" s="1106">
        <f t="shared" si="149"/>
        <v>0</v>
      </c>
      <c r="AB441" s="1113" t="e">
        <f t="shared" si="146"/>
        <v>#DIV/0!</v>
      </c>
      <c r="AC441" s="729"/>
    </row>
    <row r="442" spans="1:29" ht="34.5" hidden="1" customHeight="1" thickTop="1" thickBot="1" x14ac:dyDescent="0.3">
      <c r="A442" s="425">
        <v>1</v>
      </c>
      <c r="B442" s="505" t="s">
        <v>216</v>
      </c>
      <c r="C442" s="505" t="s">
        <v>227</v>
      </c>
      <c r="D442" s="505" t="s">
        <v>381</v>
      </c>
      <c r="E442" s="505" t="s">
        <v>231</v>
      </c>
      <c r="F442" s="505" t="s">
        <v>231</v>
      </c>
      <c r="G442" s="505" t="s">
        <v>305</v>
      </c>
      <c r="H442" s="505"/>
      <c r="I442" s="505"/>
      <c r="J442" s="505"/>
      <c r="K442" s="609" t="s">
        <v>664</v>
      </c>
      <c r="L442" s="1110"/>
      <c r="M442" s="1110"/>
      <c r="N442" s="1110"/>
      <c r="O442" s="1110">
        <f t="shared" si="157"/>
        <v>0</v>
      </c>
      <c r="P442" s="1110"/>
      <c r="Q442" s="1110"/>
      <c r="R442" s="1110"/>
      <c r="S442" s="1110"/>
      <c r="T442" s="1110"/>
      <c r="U442" s="1110"/>
      <c r="V442" s="1110"/>
      <c r="W442" s="1110"/>
      <c r="X442" s="1110"/>
      <c r="Y442" s="1110"/>
      <c r="Z442" s="1110"/>
      <c r="AA442" s="1106">
        <f t="shared" si="149"/>
        <v>0</v>
      </c>
      <c r="AB442" s="1113" t="e">
        <f t="shared" si="146"/>
        <v>#DIV/0!</v>
      </c>
      <c r="AC442" s="729"/>
    </row>
    <row r="443" spans="1:29" ht="33" hidden="1" customHeight="1" thickTop="1" thickBot="1" x14ac:dyDescent="0.3">
      <c r="A443" s="425">
        <v>1</v>
      </c>
      <c r="B443" s="505" t="s">
        <v>216</v>
      </c>
      <c r="C443" s="505" t="s">
        <v>227</v>
      </c>
      <c r="D443" s="505" t="s">
        <v>381</v>
      </c>
      <c r="E443" s="505" t="s">
        <v>231</v>
      </c>
      <c r="F443" s="505" t="s">
        <v>231</v>
      </c>
      <c r="G443" s="505" t="s">
        <v>313</v>
      </c>
      <c r="H443" s="505"/>
      <c r="I443" s="505"/>
      <c r="J443" s="505"/>
      <c r="K443" s="609" t="s">
        <v>665</v>
      </c>
      <c r="L443" s="1110"/>
      <c r="M443" s="1110"/>
      <c r="N443" s="1110"/>
      <c r="O443" s="1110">
        <f t="shared" si="157"/>
        <v>0</v>
      </c>
      <c r="P443" s="1110"/>
      <c r="Q443" s="1110"/>
      <c r="R443" s="1110"/>
      <c r="S443" s="1110"/>
      <c r="T443" s="1110"/>
      <c r="U443" s="1110"/>
      <c r="V443" s="1110"/>
      <c r="W443" s="1110"/>
      <c r="X443" s="1110"/>
      <c r="Y443" s="1110"/>
      <c r="Z443" s="1110"/>
      <c r="AA443" s="1106">
        <f t="shared" si="149"/>
        <v>0</v>
      </c>
      <c r="AB443" s="1113" t="e">
        <f t="shared" si="146"/>
        <v>#DIV/0!</v>
      </c>
      <c r="AC443" s="729"/>
    </row>
    <row r="444" spans="1:29" ht="46.5" hidden="1" customHeight="1" thickTop="1" thickBot="1" x14ac:dyDescent="0.3">
      <c r="A444" s="425">
        <v>1</v>
      </c>
      <c r="B444" s="505" t="s">
        <v>216</v>
      </c>
      <c r="C444" s="505" t="s">
        <v>227</v>
      </c>
      <c r="D444" s="505" t="s">
        <v>381</v>
      </c>
      <c r="E444" s="505" t="s">
        <v>231</v>
      </c>
      <c r="F444" s="505" t="s">
        <v>231</v>
      </c>
      <c r="G444" s="505" t="s">
        <v>243</v>
      </c>
      <c r="H444" s="505"/>
      <c r="I444" s="505"/>
      <c r="J444" s="505"/>
      <c r="K444" s="609" t="s">
        <v>666</v>
      </c>
      <c r="L444" s="1110"/>
      <c r="M444" s="1110"/>
      <c r="N444" s="1110"/>
      <c r="O444" s="1110">
        <f t="shared" si="157"/>
        <v>0</v>
      </c>
      <c r="P444" s="1110"/>
      <c r="Q444" s="1110"/>
      <c r="R444" s="1110"/>
      <c r="S444" s="1110"/>
      <c r="T444" s="1110"/>
      <c r="U444" s="1110"/>
      <c r="V444" s="1110"/>
      <c r="W444" s="1110"/>
      <c r="X444" s="1110"/>
      <c r="Y444" s="1110"/>
      <c r="Z444" s="1110"/>
      <c r="AA444" s="1106">
        <f t="shared" si="149"/>
        <v>0</v>
      </c>
      <c r="AB444" s="1113" t="e">
        <f t="shared" si="146"/>
        <v>#DIV/0!</v>
      </c>
      <c r="AC444" s="729"/>
    </row>
    <row r="445" spans="1:29" ht="36" hidden="1" customHeight="1" thickTop="1" thickBot="1" x14ac:dyDescent="0.3">
      <c r="A445" s="425">
        <v>1</v>
      </c>
      <c r="B445" s="505" t="s">
        <v>216</v>
      </c>
      <c r="C445" s="505" t="s">
        <v>227</v>
      </c>
      <c r="D445" s="505" t="s">
        <v>381</v>
      </c>
      <c r="E445" s="505" t="s">
        <v>231</v>
      </c>
      <c r="F445" s="505" t="s">
        <v>231</v>
      </c>
      <c r="G445" s="505" t="s">
        <v>361</v>
      </c>
      <c r="H445" s="505"/>
      <c r="I445" s="505"/>
      <c r="J445" s="505"/>
      <c r="K445" s="609" t="s">
        <v>667</v>
      </c>
      <c r="L445" s="1110"/>
      <c r="M445" s="1110"/>
      <c r="N445" s="1110"/>
      <c r="O445" s="1110">
        <f t="shared" si="157"/>
        <v>0</v>
      </c>
      <c r="P445" s="1110"/>
      <c r="Q445" s="1110"/>
      <c r="R445" s="1110"/>
      <c r="S445" s="1110"/>
      <c r="T445" s="1110"/>
      <c r="U445" s="1110"/>
      <c r="V445" s="1110"/>
      <c r="W445" s="1110"/>
      <c r="X445" s="1110"/>
      <c r="Y445" s="1110"/>
      <c r="Z445" s="1110"/>
      <c r="AA445" s="1106">
        <f t="shared" si="149"/>
        <v>0</v>
      </c>
      <c r="AB445" s="1113" t="e">
        <f t="shared" si="146"/>
        <v>#DIV/0!</v>
      </c>
      <c r="AC445" s="729"/>
    </row>
    <row r="446" spans="1:29" ht="42.75" hidden="1" customHeight="1" thickTop="1" thickBot="1" x14ac:dyDescent="0.3">
      <c r="A446" s="425">
        <v>1</v>
      </c>
      <c r="B446" s="505" t="s">
        <v>216</v>
      </c>
      <c r="C446" s="505" t="s">
        <v>227</v>
      </c>
      <c r="D446" s="505" t="s">
        <v>381</v>
      </c>
      <c r="E446" s="505" t="s">
        <v>231</v>
      </c>
      <c r="F446" s="505" t="s">
        <v>231</v>
      </c>
      <c r="G446" s="505" t="s">
        <v>366</v>
      </c>
      <c r="H446" s="505"/>
      <c r="I446" s="505"/>
      <c r="J446" s="505"/>
      <c r="K446" s="609" t="s">
        <v>668</v>
      </c>
      <c r="L446" s="1110"/>
      <c r="M446" s="1110"/>
      <c r="N446" s="1110"/>
      <c r="O446" s="1110">
        <f t="shared" si="157"/>
        <v>0</v>
      </c>
      <c r="P446" s="1110"/>
      <c r="Q446" s="1110"/>
      <c r="R446" s="1110"/>
      <c r="S446" s="1110"/>
      <c r="T446" s="1110"/>
      <c r="U446" s="1110"/>
      <c r="V446" s="1110"/>
      <c r="W446" s="1110"/>
      <c r="X446" s="1110"/>
      <c r="Y446" s="1110"/>
      <c r="Z446" s="1110"/>
      <c r="AA446" s="1106">
        <f t="shared" si="149"/>
        <v>0</v>
      </c>
      <c r="AB446" s="1113" t="e">
        <f t="shared" si="146"/>
        <v>#DIV/0!</v>
      </c>
      <c r="AC446" s="729"/>
    </row>
    <row r="447" spans="1:29" ht="43.5" hidden="1" customHeight="1" thickTop="1" thickBot="1" x14ac:dyDescent="0.3">
      <c r="A447" s="425">
        <v>1</v>
      </c>
      <c r="B447" s="505" t="s">
        <v>216</v>
      </c>
      <c r="C447" s="505" t="s">
        <v>227</v>
      </c>
      <c r="D447" s="505" t="s">
        <v>381</v>
      </c>
      <c r="E447" s="505" t="s">
        <v>231</v>
      </c>
      <c r="F447" s="505" t="s">
        <v>231</v>
      </c>
      <c r="G447" s="505" t="s">
        <v>371</v>
      </c>
      <c r="H447" s="505"/>
      <c r="I447" s="505"/>
      <c r="J447" s="505"/>
      <c r="K447" s="609" t="s">
        <v>669</v>
      </c>
      <c r="L447" s="1110"/>
      <c r="M447" s="1110"/>
      <c r="N447" s="1110"/>
      <c r="O447" s="1110">
        <f t="shared" si="157"/>
        <v>0</v>
      </c>
      <c r="P447" s="1110"/>
      <c r="Q447" s="1110"/>
      <c r="R447" s="1110"/>
      <c r="S447" s="1110"/>
      <c r="T447" s="1110"/>
      <c r="U447" s="1110"/>
      <c r="V447" s="1110"/>
      <c r="W447" s="1110"/>
      <c r="X447" s="1110"/>
      <c r="Y447" s="1110"/>
      <c r="Z447" s="1110"/>
      <c r="AA447" s="1106">
        <f t="shared" si="149"/>
        <v>0</v>
      </c>
      <c r="AB447" s="1113" t="e">
        <f t="shared" si="146"/>
        <v>#DIV/0!</v>
      </c>
      <c r="AC447" s="729"/>
    </row>
    <row r="448" spans="1:29" ht="37.5" hidden="1" customHeight="1" thickTop="1" thickBot="1" x14ac:dyDescent="0.3">
      <c r="A448" s="425">
        <v>1</v>
      </c>
      <c r="B448" s="505" t="s">
        <v>216</v>
      </c>
      <c r="C448" s="505" t="s">
        <v>227</v>
      </c>
      <c r="D448" s="505" t="s">
        <v>381</v>
      </c>
      <c r="E448" s="505" t="s">
        <v>231</v>
      </c>
      <c r="F448" s="505" t="s">
        <v>231</v>
      </c>
      <c r="G448" s="505" t="s">
        <v>376</v>
      </c>
      <c r="H448" s="505"/>
      <c r="I448" s="505"/>
      <c r="J448" s="505"/>
      <c r="K448" s="609" t="s">
        <v>670</v>
      </c>
      <c r="L448" s="1110"/>
      <c r="M448" s="1110"/>
      <c r="N448" s="1110"/>
      <c r="O448" s="1110">
        <f t="shared" si="157"/>
        <v>0</v>
      </c>
      <c r="P448" s="1110"/>
      <c r="Q448" s="1110"/>
      <c r="R448" s="1110"/>
      <c r="S448" s="1110"/>
      <c r="T448" s="1110"/>
      <c r="U448" s="1110"/>
      <c r="V448" s="1110"/>
      <c r="W448" s="1110"/>
      <c r="X448" s="1110"/>
      <c r="Y448" s="1110"/>
      <c r="Z448" s="1110"/>
      <c r="AA448" s="1106">
        <f t="shared" si="149"/>
        <v>0</v>
      </c>
      <c r="AB448" s="1113" t="e">
        <f t="shared" si="146"/>
        <v>#DIV/0!</v>
      </c>
      <c r="AC448" s="729"/>
    </row>
    <row r="449" spans="1:29" ht="47.25" hidden="1" customHeight="1" thickTop="1" thickBot="1" x14ac:dyDescent="0.3">
      <c r="A449" s="425">
        <v>1</v>
      </c>
      <c r="B449" s="505" t="s">
        <v>216</v>
      </c>
      <c r="C449" s="505" t="s">
        <v>227</v>
      </c>
      <c r="D449" s="505" t="s">
        <v>381</v>
      </c>
      <c r="E449" s="505" t="s">
        <v>231</v>
      </c>
      <c r="F449" s="505" t="s">
        <v>231</v>
      </c>
      <c r="G449" s="505" t="s">
        <v>381</v>
      </c>
      <c r="H449" s="505"/>
      <c r="I449" s="505"/>
      <c r="J449" s="505"/>
      <c r="K449" s="609" t="s">
        <v>671</v>
      </c>
      <c r="L449" s="1110"/>
      <c r="M449" s="1110"/>
      <c r="N449" s="1110"/>
      <c r="O449" s="1110">
        <f t="shared" si="157"/>
        <v>0</v>
      </c>
      <c r="P449" s="1110"/>
      <c r="Q449" s="1110"/>
      <c r="R449" s="1110"/>
      <c r="S449" s="1110"/>
      <c r="T449" s="1110"/>
      <c r="U449" s="1110"/>
      <c r="V449" s="1110"/>
      <c r="W449" s="1110"/>
      <c r="X449" s="1110"/>
      <c r="Y449" s="1110"/>
      <c r="Z449" s="1110"/>
      <c r="AA449" s="1106">
        <f t="shared" si="149"/>
        <v>0</v>
      </c>
      <c r="AB449" s="1113" t="e">
        <f t="shared" si="146"/>
        <v>#DIV/0!</v>
      </c>
      <c r="AC449" s="729"/>
    </row>
    <row r="450" spans="1:29" ht="55.5" hidden="1" customHeight="1" thickTop="1" thickBot="1" x14ac:dyDescent="0.3">
      <c r="A450" s="425">
        <v>1</v>
      </c>
      <c r="B450" s="505" t="s">
        <v>216</v>
      </c>
      <c r="C450" s="505" t="s">
        <v>227</v>
      </c>
      <c r="D450" s="505" t="s">
        <v>381</v>
      </c>
      <c r="E450" s="505" t="s">
        <v>231</v>
      </c>
      <c r="F450" s="505" t="s">
        <v>231</v>
      </c>
      <c r="G450" s="505" t="s">
        <v>531</v>
      </c>
      <c r="H450" s="505"/>
      <c r="I450" s="505"/>
      <c r="J450" s="505"/>
      <c r="K450" s="609" t="s">
        <v>672</v>
      </c>
      <c r="L450" s="1110"/>
      <c r="M450" s="1110"/>
      <c r="N450" s="1110"/>
      <c r="O450" s="1110">
        <f t="shared" si="157"/>
        <v>0</v>
      </c>
      <c r="P450" s="1110"/>
      <c r="Q450" s="1110"/>
      <c r="R450" s="1110"/>
      <c r="S450" s="1110"/>
      <c r="T450" s="1110"/>
      <c r="U450" s="1110"/>
      <c r="V450" s="1110"/>
      <c r="W450" s="1110"/>
      <c r="X450" s="1110"/>
      <c r="Y450" s="1110"/>
      <c r="Z450" s="1110"/>
      <c r="AA450" s="1106">
        <f t="shared" si="149"/>
        <v>0</v>
      </c>
      <c r="AB450" s="1113" t="e">
        <f t="shared" si="146"/>
        <v>#DIV/0!</v>
      </c>
      <c r="AC450" s="729"/>
    </row>
    <row r="451" spans="1:29" ht="56.25" hidden="1" customHeight="1" thickTop="1" thickBot="1" x14ac:dyDescent="0.3">
      <c r="A451" s="425">
        <v>1</v>
      </c>
      <c r="B451" s="505" t="s">
        <v>216</v>
      </c>
      <c r="C451" s="505" t="s">
        <v>227</v>
      </c>
      <c r="D451" s="505" t="s">
        <v>381</v>
      </c>
      <c r="E451" s="505" t="s">
        <v>231</v>
      </c>
      <c r="F451" s="505" t="s">
        <v>231</v>
      </c>
      <c r="G451" s="505" t="s">
        <v>533</v>
      </c>
      <c r="H451" s="505"/>
      <c r="I451" s="505"/>
      <c r="J451" s="505"/>
      <c r="K451" s="609" t="s">
        <v>673</v>
      </c>
      <c r="L451" s="1110"/>
      <c r="M451" s="1110"/>
      <c r="N451" s="1110"/>
      <c r="O451" s="1110">
        <f t="shared" si="157"/>
        <v>0</v>
      </c>
      <c r="P451" s="1110"/>
      <c r="Q451" s="1110"/>
      <c r="R451" s="1110"/>
      <c r="S451" s="1110"/>
      <c r="T451" s="1110"/>
      <c r="U451" s="1110"/>
      <c r="V451" s="1110"/>
      <c r="W451" s="1110"/>
      <c r="X451" s="1110"/>
      <c r="Y451" s="1110"/>
      <c r="Z451" s="1110"/>
      <c r="AA451" s="1106">
        <f t="shared" si="149"/>
        <v>0</v>
      </c>
      <c r="AB451" s="1113" t="e">
        <f t="shared" si="146"/>
        <v>#DIV/0!</v>
      </c>
      <c r="AC451" s="729"/>
    </row>
    <row r="452" spans="1:29" ht="49.5" hidden="1" customHeight="1" thickTop="1" thickBot="1" x14ac:dyDescent="0.3">
      <c r="A452" s="425">
        <v>1</v>
      </c>
      <c r="B452" s="505" t="s">
        <v>216</v>
      </c>
      <c r="C452" s="505" t="s">
        <v>227</v>
      </c>
      <c r="D452" s="505" t="s">
        <v>381</v>
      </c>
      <c r="E452" s="505" t="s">
        <v>231</v>
      </c>
      <c r="F452" s="505" t="s">
        <v>231</v>
      </c>
      <c r="G452" s="505" t="s">
        <v>322</v>
      </c>
      <c r="H452" s="505"/>
      <c r="I452" s="505"/>
      <c r="J452" s="505"/>
      <c r="K452" s="609" t="s">
        <v>674</v>
      </c>
      <c r="L452" s="1110"/>
      <c r="M452" s="1110"/>
      <c r="N452" s="1110"/>
      <c r="O452" s="1110">
        <f t="shared" si="157"/>
        <v>0</v>
      </c>
      <c r="P452" s="1110"/>
      <c r="Q452" s="1110"/>
      <c r="R452" s="1110"/>
      <c r="S452" s="1110"/>
      <c r="T452" s="1110"/>
      <c r="U452" s="1110"/>
      <c r="V452" s="1110"/>
      <c r="W452" s="1110"/>
      <c r="X452" s="1110"/>
      <c r="Y452" s="1110"/>
      <c r="Z452" s="1110"/>
      <c r="AA452" s="1106">
        <f t="shared" si="149"/>
        <v>0</v>
      </c>
      <c r="AB452" s="1113" t="e">
        <f t="shared" ref="AB452:AB515" si="158">+AA452/X452</f>
        <v>#DIV/0!</v>
      </c>
      <c r="AC452" s="729"/>
    </row>
    <row r="453" spans="1:29" ht="44.25" hidden="1" customHeight="1" thickTop="1" thickBot="1" x14ac:dyDescent="0.3">
      <c r="A453" s="425">
        <v>1</v>
      </c>
      <c r="B453" s="505" t="s">
        <v>216</v>
      </c>
      <c r="C453" s="505" t="s">
        <v>227</v>
      </c>
      <c r="D453" s="505" t="s">
        <v>381</v>
      </c>
      <c r="E453" s="505" t="s">
        <v>231</v>
      </c>
      <c r="F453" s="505" t="s">
        <v>231</v>
      </c>
      <c r="G453" s="505" t="s">
        <v>394</v>
      </c>
      <c r="H453" s="505"/>
      <c r="I453" s="505"/>
      <c r="J453" s="505"/>
      <c r="K453" s="609" t="s">
        <v>675</v>
      </c>
      <c r="L453" s="1110"/>
      <c r="M453" s="1110"/>
      <c r="N453" s="1110"/>
      <c r="O453" s="1110">
        <f t="shared" si="157"/>
        <v>0</v>
      </c>
      <c r="P453" s="1110"/>
      <c r="Q453" s="1110"/>
      <c r="R453" s="1110"/>
      <c r="S453" s="1110"/>
      <c r="T453" s="1110"/>
      <c r="U453" s="1110"/>
      <c r="V453" s="1110"/>
      <c r="W453" s="1110"/>
      <c r="X453" s="1110"/>
      <c r="Y453" s="1110"/>
      <c r="Z453" s="1110"/>
      <c r="AA453" s="1106">
        <f t="shared" si="149"/>
        <v>0</v>
      </c>
      <c r="AB453" s="1113" t="e">
        <f t="shared" si="158"/>
        <v>#DIV/0!</v>
      </c>
      <c r="AC453" s="729"/>
    </row>
    <row r="454" spans="1:29" ht="41.25" hidden="1" customHeight="1" thickTop="1" thickBot="1" x14ac:dyDescent="0.3">
      <c r="A454" s="425">
        <v>1</v>
      </c>
      <c r="B454" s="505" t="s">
        <v>216</v>
      </c>
      <c r="C454" s="505" t="s">
        <v>227</v>
      </c>
      <c r="D454" s="505" t="s">
        <v>381</v>
      </c>
      <c r="E454" s="505" t="s">
        <v>231</v>
      </c>
      <c r="F454" s="505" t="s">
        <v>231</v>
      </c>
      <c r="G454" s="505" t="s">
        <v>537</v>
      </c>
      <c r="H454" s="505"/>
      <c r="I454" s="505"/>
      <c r="J454" s="505"/>
      <c r="K454" s="609" t="s">
        <v>676</v>
      </c>
      <c r="L454" s="1110"/>
      <c r="M454" s="1110"/>
      <c r="N454" s="1110"/>
      <c r="O454" s="1110">
        <f t="shared" si="157"/>
        <v>0</v>
      </c>
      <c r="P454" s="1110"/>
      <c r="Q454" s="1110"/>
      <c r="R454" s="1110"/>
      <c r="S454" s="1110"/>
      <c r="T454" s="1110"/>
      <c r="U454" s="1110"/>
      <c r="V454" s="1110"/>
      <c r="W454" s="1110"/>
      <c r="X454" s="1110"/>
      <c r="Y454" s="1110"/>
      <c r="Z454" s="1110"/>
      <c r="AA454" s="1106">
        <f t="shared" si="149"/>
        <v>0</v>
      </c>
      <c r="AB454" s="1113" t="e">
        <f t="shared" si="158"/>
        <v>#DIV/0!</v>
      </c>
      <c r="AC454" s="729"/>
    </row>
    <row r="455" spans="1:29" ht="48" hidden="1" customHeight="1" thickTop="1" thickBot="1" x14ac:dyDescent="0.3">
      <c r="A455" s="425">
        <v>1</v>
      </c>
      <c r="B455" s="505" t="s">
        <v>216</v>
      </c>
      <c r="C455" s="505" t="s">
        <v>227</v>
      </c>
      <c r="D455" s="505" t="s">
        <v>381</v>
      </c>
      <c r="E455" s="505" t="s">
        <v>231</v>
      </c>
      <c r="F455" s="505" t="s">
        <v>231</v>
      </c>
      <c r="G455" s="505" t="s">
        <v>539</v>
      </c>
      <c r="H455" s="505"/>
      <c r="I455" s="505"/>
      <c r="J455" s="505"/>
      <c r="K455" s="609" t="s">
        <v>677</v>
      </c>
      <c r="L455" s="1110"/>
      <c r="M455" s="1110"/>
      <c r="N455" s="1110"/>
      <c r="O455" s="1110">
        <f t="shared" si="157"/>
        <v>0</v>
      </c>
      <c r="P455" s="1110"/>
      <c r="Q455" s="1110"/>
      <c r="R455" s="1110"/>
      <c r="S455" s="1110"/>
      <c r="T455" s="1110"/>
      <c r="U455" s="1110"/>
      <c r="V455" s="1110"/>
      <c r="W455" s="1110"/>
      <c r="X455" s="1110"/>
      <c r="Y455" s="1110"/>
      <c r="Z455" s="1110"/>
      <c r="AA455" s="1106">
        <f t="shared" si="149"/>
        <v>0</v>
      </c>
      <c r="AB455" s="1113" t="e">
        <f t="shared" si="158"/>
        <v>#DIV/0!</v>
      </c>
      <c r="AC455" s="729"/>
    </row>
    <row r="456" spans="1:29" ht="35.25" hidden="1" customHeight="1" thickTop="1" thickBot="1" x14ac:dyDescent="0.3">
      <c r="A456" s="425">
        <v>1</v>
      </c>
      <c r="B456" s="505" t="s">
        <v>216</v>
      </c>
      <c r="C456" s="505" t="s">
        <v>227</v>
      </c>
      <c r="D456" s="505" t="s">
        <v>381</v>
      </c>
      <c r="E456" s="505" t="s">
        <v>231</v>
      </c>
      <c r="F456" s="505" t="s">
        <v>231</v>
      </c>
      <c r="G456" s="505" t="s">
        <v>541</v>
      </c>
      <c r="H456" s="505"/>
      <c r="I456" s="505"/>
      <c r="J456" s="505"/>
      <c r="K456" s="609" t="s">
        <v>678</v>
      </c>
      <c r="L456" s="1110"/>
      <c r="M456" s="1110"/>
      <c r="N456" s="1110"/>
      <c r="O456" s="1110">
        <f t="shared" si="157"/>
        <v>0</v>
      </c>
      <c r="P456" s="1110"/>
      <c r="Q456" s="1110"/>
      <c r="R456" s="1110"/>
      <c r="S456" s="1110"/>
      <c r="T456" s="1110"/>
      <c r="U456" s="1110"/>
      <c r="V456" s="1110"/>
      <c r="W456" s="1110"/>
      <c r="X456" s="1110"/>
      <c r="Y456" s="1110"/>
      <c r="Z456" s="1110"/>
      <c r="AA456" s="1106">
        <f t="shared" si="149"/>
        <v>0</v>
      </c>
      <c r="AB456" s="1113" t="e">
        <f t="shared" si="158"/>
        <v>#DIV/0!</v>
      </c>
      <c r="AC456" s="729"/>
    </row>
    <row r="457" spans="1:29" ht="36.75" hidden="1" customHeight="1" thickTop="1" thickBot="1" x14ac:dyDescent="0.3">
      <c r="A457" s="425">
        <v>1</v>
      </c>
      <c r="B457" s="505" t="s">
        <v>216</v>
      </c>
      <c r="C457" s="505" t="s">
        <v>227</v>
      </c>
      <c r="D457" s="505" t="s">
        <v>381</v>
      </c>
      <c r="E457" s="505" t="s">
        <v>231</v>
      </c>
      <c r="F457" s="505" t="s">
        <v>231</v>
      </c>
      <c r="G457" s="505" t="s">
        <v>543</v>
      </c>
      <c r="H457" s="505"/>
      <c r="I457" s="505"/>
      <c r="J457" s="505"/>
      <c r="K457" s="609" t="s">
        <v>679</v>
      </c>
      <c r="L457" s="1110"/>
      <c r="M457" s="1110"/>
      <c r="N457" s="1110"/>
      <c r="O457" s="1110">
        <f t="shared" si="157"/>
        <v>0</v>
      </c>
      <c r="P457" s="1110"/>
      <c r="Q457" s="1110"/>
      <c r="R457" s="1110"/>
      <c r="S457" s="1110"/>
      <c r="T457" s="1110"/>
      <c r="U457" s="1110"/>
      <c r="V457" s="1110"/>
      <c r="W457" s="1110"/>
      <c r="X457" s="1110"/>
      <c r="Y457" s="1110"/>
      <c r="Z457" s="1110"/>
      <c r="AA457" s="1106">
        <f t="shared" si="149"/>
        <v>0</v>
      </c>
      <c r="AB457" s="1113" t="e">
        <f t="shared" si="158"/>
        <v>#DIV/0!</v>
      </c>
      <c r="AC457" s="729"/>
    </row>
    <row r="458" spans="1:29" ht="39" hidden="1" customHeight="1" thickTop="1" thickBot="1" x14ac:dyDescent="0.3">
      <c r="A458" s="425">
        <v>1</v>
      </c>
      <c r="B458" s="505" t="s">
        <v>216</v>
      </c>
      <c r="C458" s="505" t="s">
        <v>227</v>
      </c>
      <c r="D458" s="505" t="s">
        <v>381</v>
      </c>
      <c r="E458" s="505" t="s">
        <v>231</v>
      </c>
      <c r="F458" s="505" t="s">
        <v>231</v>
      </c>
      <c r="G458" s="505" t="s">
        <v>545</v>
      </c>
      <c r="H458" s="505"/>
      <c r="I458" s="505"/>
      <c r="J458" s="505"/>
      <c r="K458" s="609" t="s">
        <v>680</v>
      </c>
      <c r="L458" s="1110"/>
      <c r="M458" s="1110"/>
      <c r="N458" s="1110"/>
      <c r="O458" s="1110">
        <f t="shared" si="157"/>
        <v>0</v>
      </c>
      <c r="P458" s="1110"/>
      <c r="Q458" s="1110"/>
      <c r="R458" s="1110"/>
      <c r="S458" s="1110"/>
      <c r="T458" s="1110"/>
      <c r="U458" s="1110"/>
      <c r="V458" s="1110"/>
      <c r="W458" s="1110"/>
      <c r="X458" s="1110"/>
      <c r="Y458" s="1110"/>
      <c r="Z458" s="1110"/>
      <c r="AA458" s="1106">
        <f t="shared" si="149"/>
        <v>0</v>
      </c>
      <c r="AB458" s="1113" t="e">
        <f t="shared" si="158"/>
        <v>#DIV/0!</v>
      </c>
      <c r="AC458" s="729"/>
    </row>
    <row r="459" spans="1:29" ht="53.25" hidden="1" customHeight="1" thickTop="1" thickBot="1" x14ac:dyDescent="0.3">
      <c r="A459" s="425">
        <v>1</v>
      </c>
      <c r="B459" s="505" t="s">
        <v>216</v>
      </c>
      <c r="C459" s="505" t="s">
        <v>227</v>
      </c>
      <c r="D459" s="505" t="s">
        <v>381</v>
      </c>
      <c r="E459" s="505" t="s">
        <v>231</v>
      </c>
      <c r="F459" s="505" t="s">
        <v>231</v>
      </c>
      <c r="G459" s="505" t="s">
        <v>547</v>
      </c>
      <c r="H459" s="505"/>
      <c r="I459" s="505"/>
      <c r="J459" s="505"/>
      <c r="K459" s="609" t="s">
        <v>681</v>
      </c>
      <c r="L459" s="1110"/>
      <c r="M459" s="1110"/>
      <c r="N459" s="1110"/>
      <c r="O459" s="1110">
        <f t="shared" si="157"/>
        <v>0</v>
      </c>
      <c r="P459" s="1110"/>
      <c r="Q459" s="1110"/>
      <c r="R459" s="1110"/>
      <c r="S459" s="1110"/>
      <c r="T459" s="1110"/>
      <c r="U459" s="1110"/>
      <c r="V459" s="1110"/>
      <c r="W459" s="1110"/>
      <c r="X459" s="1110"/>
      <c r="Y459" s="1110"/>
      <c r="Z459" s="1110"/>
      <c r="AA459" s="1106">
        <f t="shared" ref="AA459:AA522" si="159">+Y459+Z459</f>
        <v>0</v>
      </c>
      <c r="AB459" s="1113" t="e">
        <f t="shared" si="158"/>
        <v>#DIV/0!</v>
      </c>
      <c r="AC459" s="729"/>
    </row>
    <row r="460" spans="1:29" ht="53.25" hidden="1" customHeight="1" thickTop="1" thickBot="1" x14ac:dyDescent="0.3">
      <c r="A460" s="425">
        <v>1</v>
      </c>
      <c r="B460" s="505" t="s">
        <v>216</v>
      </c>
      <c r="C460" s="505" t="s">
        <v>227</v>
      </c>
      <c r="D460" s="505" t="s">
        <v>381</v>
      </c>
      <c r="E460" s="505" t="s">
        <v>231</v>
      </c>
      <c r="F460" s="505" t="s">
        <v>231</v>
      </c>
      <c r="G460" s="505" t="s">
        <v>549</v>
      </c>
      <c r="H460" s="505"/>
      <c r="I460" s="505"/>
      <c r="J460" s="505"/>
      <c r="K460" s="609" t="s">
        <v>682</v>
      </c>
      <c r="L460" s="1110"/>
      <c r="M460" s="1110"/>
      <c r="N460" s="1110"/>
      <c r="O460" s="1110">
        <f t="shared" si="157"/>
        <v>0</v>
      </c>
      <c r="P460" s="1110"/>
      <c r="Q460" s="1110"/>
      <c r="R460" s="1110"/>
      <c r="S460" s="1110"/>
      <c r="T460" s="1110"/>
      <c r="U460" s="1110"/>
      <c r="V460" s="1110"/>
      <c r="W460" s="1110"/>
      <c r="X460" s="1110"/>
      <c r="Y460" s="1110"/>
      <c r="Z460" s="1110"/>
      <c r="AA460" s="1106">
        <f t="shared" si="159"/>
        <v>0</v>
      </c>
      <c r="AB460" s="1113" t="e">
        <f t="shared" si="158"/>
        <v>#DIV/0!</v>
      </c>
      <c r="AC460" s="729"/>
    </row>
    <row r="461" spans="1:29" ht="67.5" hidden="1" customHeight="1" thickTop="1" thickBot="1" x14ac:dyDescent="0.3">
      <c r="A461" s="425">
        <v>1</v>
      </c>
      <c r="B461" s="505" t="s">
        <v>216</v>
      </c>
      <c r="C461" s="505" t="s">
        <v>227</v>
      </c>
      <c r="D461" s="505" t="s">
        <v>381</v>
      </c>
      <c r="E461" s="505" t="s">
        <v>231</v>
      </c>
      <c r="F461" s="505" t="s">
        <v>231</v>
      </c>
      <c r="G461" s="505" t="s">
        <v>327</v>
      </c>
      <c r="H461" s="505"/>
      <c r="I461" s="505"/>
      <c r="J461" s="505"/>
      <c r="K461" s="609" t="s">
        <v>683</v>
      </c>
      <c r="L461" s="1110"/>
      <c r="M461" s="1110"/>
      <c r="N461" s="1110"/>
      <c r="O461" s="1110">
        <f t="shared" si="157"/>
        <v>0</v>
      </c>
      <c r="P461" s="1110"/>
      <c r="Q461" s="1110"/>
      <c r="R461" s="1110"/>
      <c r="S461" s="1110"/>
      <c r="T461" s="1110"/>
      <c r="U461" s="1110"/>
      <c r="V461" s="1110"/>
      <c r="W461" s="1110"/>
      <c r="X461" s="1110"/>
      <c r="Y461" s="1110"/>
      <c r="Z461" s="1110"/>
      <c r="AA461" s="1106">
        <f t="shared" si="159"/>
        <v>0</v>
      </c>
      <c r="AB461" s="1113" t="e">
        <f t="shared" si="158"/>
        <v>#DIV/0!</v>
      </c>
      <c r="AC461" s="729"/>
    </row>
    <row r="462" spans="1:29" ht="56.25" hidden="1" customHeight="1" thickTop="1" thickBot="1" x14ac:dyDescent="0.3">
      <c r="A462" s="425">
        <v>1</v>
      </c>
      <c r="B462" s="505" t="s">
        <v>216</v>
      </c>
      <c r="C462" s="505" t="s">
        <v>227</v>
      </c>
      <c r="D462" s="505" t="s">
        <v>381</v>
      </c>
      <c r="E462" s="505" t="s">
        <v>231</v>
      </c>
      <c r="F462" s="505" t="s">
        <v>231</v>
      </c>
      <c r="G462" s="505" t="s">
        <v>552</v>
      </c>
      <c r="H462" s="505"/>
      <c r="I462" s="505"/>
      <c r="J462" s="505"/>
      <c r="K462" s="609" t="s">
        <v>684</v>
      </c>
      <c r="L462" s="1110"/>
      <c r="M462" s="1110"/>
      <c r="N462" s="1110"/>
      <c r="O462" s="1110">
        <f t="shared" si="157"/>
        <v>0</v>
      </c>
      <c r="P462" s="1110"/>
      <c r="Q462" s="1110"/>
      <c r="R462" s="1110"/>
      <c r="S462" s="1110"/>
      <c r="T462" s="1110"/>
      <c r="U462" s="1110"/>
      <c r="V462" s="1110"/>
      <c r="W462" s="1110"/>
      <c r="X462" s="1110"/>
      <c r="Y462" s="1110"/>
      <c r="Z462" s="1110"/>
      <c r="AA462" s="1106">
        <f t="shared" si="159"/>
        <v>0</v>
      </c>
      <c r="AB462" s="1113" t="e">
        <f t="shared" si="158"/>
        <v>#DIV/0!</v>
      </c>
      <c r="AC462" s="729"/>
    </row>
    <row r="463" spans="1:29" ht="47.25" hidden="1" customHeight="1" thickTop="1" thickBot="1" x14ac:dyDescent="0.3">
      <c r="A463" s="425">
        <v>1</v>
      </c>
      <c r="B463" s="505" t="s">
        <v>216</v>
      </c>
      <c r="C463" s="505" t="s">
        <v>227</v>
      </c>
      <c r="D463" s="505" t="s">
        <v>381</v>
      </c>
      <c r="E463" s="505" t="s">
        <v>231</v>
      </c>
      <c r="F463" s="505" t="s">
        <v>231</v>
      </c>
      <c r="G463" s="505" t="s">
        <v>554</v>
      </c>
      <c r="H463" s="505"/>
      <c r="I463" s="505"/>
      <c r="J463" s="505"/>
      <c r="K463" s="609" t="s">
        <v>685</v>
      </c>
      <c r="L463" s="1110"/>
      <c r="M463" s="1110"/>
      <c r="N463" s="1110"/>
      <c r="O463" s="1110">
        <f t="shared" si="157"/>
        <v>0</v>
      </c>
      <c r="P463" s="1110"/>
      <c r="Q463" s="1110"/>
      <c r="R463" s="1110"/>
      <c r="S463" s="1110"/>
      <c r="T463" s="1110"/>
      <c r="U463" s="1110"/>
      <c r="V463" s="1110"/>
      <c r="W463" s="1110"/>
      <c r="X463" s="1110"/>
      <c r="Y463" s="1110"/>
      <c r="Z463" s="1110"/>
      <c r="AA463" s="1106">
        <f t="shared" si="159"/>
        <v>0</v>
      </c>
      <c r="AB463" s="1113" t="e">
        <f t="shared" si="158"/>
        <v>#DIV/0!</v>
      </c>
      <c r="AC463" s="729"/>
    </row>
    <row r="464" spans="1:29" ht="51.75" hidden="1" customHeight="1" thickTop="1" thickBot="1" x14ac:dyDescent="0.3">
      <c r="A464" s="425">
        <v>1</v>
      </c>
      <c r="B464" s="505" t="s">
        <v>216</v>
      </c>
      <c r="C464" s="505" t="s">
        <v>227</v>
      </c>
      <c r="D464" s="505" t="s">
        <v>381</v>
      </c>
      <c r="E464" s="505" t="s">
        <v>231</v>
      </c>
      <c r="F464" s="505" t="s">
        <v>231</v>
      </c>
      <c r="G464" s="505" t="s">
        <v>556</v>
      </c>
      <c r="H464" s="505"/>
      <c r="I464" s="505"/>
      <c r="J464" s="505"/>
      <c r="K464" s="609" t="s">
        <v>686</v>
      </c>
      <c r="L464" s="1110"/>
      <c r="M464" s="1110"/>
      <c r="N464" s="1110"/>
      <c r="O464" s="1110">
        <f t="shared" si="157"/>
        <v>0</v>
      </c>
      <c r="P464" s="1110"/>
      <c r="Q464" s="1110"/>
      <c r="R464" s="1110"/>
      <c r="S464" s="1110"/>
      <c r="T464" s="1110"/>
      <c r="U464" s="1110"/>
      <c r="V464" s="1110"/>
      <c r="W464" s="1110"/>
      <c r="X464" s="1110"/>
      <c r="Y464" s="1110"/>
      <c r="Z464" s="1110"/>
      <c r="AA464" s="1106">
        <f t="shared" si="159"/>
        <v>0</v>
      </c>
      <c r="AB464" s="1113" t="e">
        <f t="shared" si="158"/>
        <v>#DIV/0!</v>
      </c>
      <c r="AC464" s="729"/>
    </row>
    <row r="465" spans="1:29" ht="31.5" hidden="1" customHeight="1" thickTop="1" thickBot="1" x14ac:dyDescent="0.3">
      <c r="A465" s="425">
        <v>1</v>
      </c>
      <c r="B465" s="505" t="s">
        <v>216</v>
      </c>
      <c r="C465" s="505" t="s">
        <v>227</v>
      </c>
      <c r="D465" s="505" t="s">
        <v>381</v>
      </c>
      <c r="E465" s="505" t="s">
        <v>231</v>
      </c>
      <c r="F465" s="505" t="s">
        <v>231</v>
      </c>
      <c r="G465" s="505" t="s">
        <v>558</v>
      </c>
      <c r="H465" s="505"/>
      <c r="I465" s="505"/>
      <c r="J465" s="505"/>
      <c r="K465" s="609" t="s">
        <v>687</v>
      </c>
      <c r="L465" s="1110"/>
      <c r="M465" s="1110"/>
      <c r="N465" s="1110"/>
      <c r="O465" s="1110">
        <f t="shared" si="157"/>
        <v>0</v>
      </c>
      <c r="P465" s="1110"/>
      <c r="Q465" s="1110"/>
      <c r="R465" s="1110"/>
      <c r="S465" s="1110"/>
      <c r="T465" s="1110"/>
      <c r="U465" s="1110"/>
      <c r="V465" s="1110"/>
      <c r="W465" s="1110"/>
      <c r="X465" s="1110"/>
      <c r="Y465" s="1110"/>
      <c r="Z465" s="1110"/>
      <c r="AA465" s="1106">
        <f t="shared" si="159"/>
        <v>0</v>
      </c>
      <c r="AB465" s="1113" t="e">
        <f t="shared" si="158"/>
        <v>#DIV/0!</v>
      </c>
      <c r="AC465" s="729"/>
    </row>
    <row r="466" spans="1:29" ht="38.25" hidden="1" customHeight="1" thickTop="1" thickBot="1" x14ac:dyDescent="0.3">
      <c r="A466" s="425">
        <v>1</v>
      </c>
      <c r="B466" s="505" t="s">
        <v>216</v>
      </c>
      <c r="C466" s="505" t="s">
        <v>227</v>
      </c>
      <c r="D466" s="505" t="s">
        <v>381</v>
      </c>
      <c r="E466" s="505" t="s">
        <v>231</v>
      </c>
      <c r="F466" s="505" t="s">
        <v>231</v>
      </c>
      <c r="G466" s="505" t="s">
        <v>560</v>
      </c>
      <c r="H466" s="505"/>
      <c r="I466" s="505"/>
      <c r="J466" s="505"/>
      <c r="K466" s="609" t="s">
        <v>688</v>
      </c>
      <c r="L466" s="1110"/>
      <c r="M466" s="1110"/>
      <c r="N466" s="1110"/>
      <c r="O466" s="1110">
        <f t="shared" si="157"/>
        <v>0</v>
      </c>
      <c r="P466" s="1110"/>
      <c r="Q466" s="1110"/>
      <c r="R466" s="1110"/>
      <c r="S466" s="1110"/>
      <c r="T466" s="1110"/>
      <c r="U466" s="1110"/>
      <c r="V466" s="1110"/>
      <c r="W466" s="1110"/>
      <c r="X466" s="1110"/>
      <c r="Y466" s="1110"/>
      <c r="Z466" s="1110"/>
      <c r="AA466" s="1106">
        <f t="shared" si="159"/>
        <v>0</v>
      </c>
      <c r="AB466" s="1113" t="e">
        <f t="shared" si="158"/>
        <v>#DIV/0!</v>
      </c>
      <c r="AC466" s="729"/>
    </row>
    <row r="467" spans="1:29" ht="55.5" hidden="1" customHeight="1" thickTop="1" thickBot="1" x14ac:dyDescent="0.3">
      <c r="A467" s="425">
        <v>1</v>
      </c>
      <c r="B467" s="505" t="s">
        <v>216</v>
      </c>
      <c r="C467" s="505" t="s">
        <v>227</v>
      </c>
      <c r="D467" s="505" t="s">
        <v>381</v>
      </c>
      <c r="E467" s="505" t="s">
        <v>231</v>
      </c>
      <c r="F467" s="505" t="s">
        <v>231</v>
      </c>
      <c r="G467" s="505" t="s">
        <v>562</v>
      </c>
      <c r="H467" s="505"/>
      <c r="I467" s="505"/>
      <c r="J467" s="505"/>
      <c r="K467" s="609" t="s">
        <v>689</v>
      </c>
      <c r="L467" s="1110"/>
      <c r="M467" s="1110"/>
      <c r="N467" s="1110"/>
      <c r="O467" s="1110">
        <f t="shared" si="157"/>
        <v>0</v>
      </c>
      <c r="P467" s="1110"/>
      <c r="Q467" s="1110"/>
      <c r="R467" s="1110"/>
      <c r="S467" s="1110"/>
      <c r="T467" s="1110"/>
      <c r="U467" s="1110"/>
      <c r="V467" s="1110"/>
      <c r="W467" s="1110"/>
      <c r="X467" s="1110"/>
      <c r="Y467" s="1110"/>
      <c r="Z467" s="1110"/>
      <c r="AA467" s="1106">
        <f t="shared" si="159"/>
        <v>0</v>
      </c>
      <c r="AB467" s="1113" t="e">
        <f t="shared" si="158"/>
        <v>#DIV/0!</v>
      </c>
      <c r="AC467" s="729"/>
    </row>
    <row r="468" spans="1:29" ht="54.75" hidden="1" customHeight="1" thickTop="1" thickBot="1" x14ac:dyDescent="0.3">
      <c r="A468" s="425">
        <v>1</v>
      </c>
      <c r="B468" s="505" t="s">
        <v>216</v>
      </c>
      <c r="C468" s="505" t="s">
        <v>227</v>
      </c>
      <c r="D468" s="505" t="s">
        <v>381</v>
      </c>
      <c r="E468" s="505" t="s">
        <v>231</v>
      </c>
      <c r="F468" s="505" t="s">
        <v>231</v>
      </c>
      <c r="G468" s="505" t="s">
        <v>564</v>
      </c>
      <c r="H468" s="505"/>
      <c r="I468" s="505"/>
      <c r="J468" s="505"/>
      <c r="K468" s="609" t="s">
        <v>690</v>
      </c>
      <c r="L468" s="1110"/>
      <c r="M468" s="1110"/>
      <c r="N468" s="1110"/>
      <c r="O468" s="1110">
        <f t="shared" si="157"/>
        <v>0</v>
      </c>
      <c r="P468" s="1110"/>
      <c r="Q468" s="1110"/>
      <c r="R468" s="1110"/>
      <c r="S468" s="1110"/>
      <c r="T468" s="1110"/>
      <c r="U468" s="1110"/>
      <c r="V468" s="1110"/>
      <c r="W468" s="1110"/>
      <c r="X468" s="1110"/>
      <c r="Y468" s="1110"/>
      <c r="Z468" s="1110"/>
      <c r="AA468" s="1106">
        <f t="shared" si="159"/>
        <v>0</v>
      </c>
      <c r="AB468" s="1113" t="e">
        <f t="shared" si="158"/>
        <v>#DIV/0!</v>
      </c>
      <c r="AC468" s="729"/>
    </row>
    <row r="469" spans="1:29" ht="53.25" hidden="1" customHeight="1" thickTop="1" thickBot="1" x14ac:dyDescent="0.3">
      <c r="A469" s="425">
        <v>1</v>
      </c>
      <c r="B469" s="505" t="s">
        <v>216</v>
      </c>
      <c r="C469" s="505" t="s">
        <v>227</v>
      </c>
      <c r="D469" s="505" t="s">
        <v>381</v>
      </c>
      <c r="E469" s="505" t="s">
        <v>231</v>
      </c>
      <c r="F469" s="505" t="s">
        <v>231</v>
      </c>
      <c r="G469" s="505" t="s">
        <v>566</v>
      </c>
      <c r="H469" s="505"/>
      <c r="I469" s="505"/>
      <c r="J469" s="505"/>
      <c r="K469" s="609" t="s">
        <v>691</v>
      </c>
      <c r="L469" s="1110"/>
      <c r="M469" s="1110"/>
      <c r="N469" s="1110"/>
      <c r="O469" s="1110">
        <f t="shared" si="157"/>
        <v>0</v>
      </c>
      <c r="P469" s="1110"/>
      <c r="Q469" s="1110"/>
      <c r="R469" s="1110"/>
      <c r="S469" s="1110"/>
      <c r="T469" s="1110"/>
      <c r="U469" s="1110"/>
      <c r="V469" s="1110"/>
      <c r="W469" s="1110"/>
      <c r="X469" s="1110"/>
      <c r="Y469" s="1110"/>
      <c r="Z469" s="1110"/>
      <c r="AA469" s="1106">
        <f t="shared" si="159"/>
        <v>0</v>
      </c>
      <c r="AB469" s="1113" t="e">
        <f t="shared" si="158"/>
        <v>#DIV/0!</v>
      </c>
      <c r="AC469" s="729"/>
    </row>
    <row r="470" spans="1:29" ht="67.5" hidden="1" customHeight="1" thickTop="1" thickBot="1" x14ac:dyDescent="0.3">
      <c r="A470" s="425">
        <v>1</v>
      </c>
      <c r="B470" s="505" t="s">
        <v>216</v>
      </c>
      <c r="C470" s="505" t="s">
        <v>227</v>
      </c>
      <c r="D470" s="505" t="s">
        <v>381</v>
      </c>
      <c r="E470" s="505" t="s">
        <v>231</v>
      </c>
      <c r="F470" s="505" t="s">
        <v>231</v>
      </c>
      <c r="G470" s="505" t="s">
        <v>657</v>
      </c>
      <c r="H470" s="505"/>
      <c r="I470" s="505"/>
      <c r="J470" s="505"/>
      <c r="K470" s="609" t="s">
        <v>692</v>
      </c>
      <c r="L470" s="1110"/>
      <c r="M470" s="1110"/>
      <c r="N470" s="1110"/>
      <c r="O470" s="1110">
        <f t="shared" si="157"/>
        <v>0</v>
      </c>
      <c r="P470" s="1110"/>
      <c r="Q470" s="1110"/>
      <c r="R470" s="1110"/>
      <c r="S470" s="1110"/>
      <c r="T470" s="1110"/>
      <c r="U470" s="1110"/>
      <c r="V470" s="1110"/>
      <c r="W470" s="1110"/>
      <c r="X470" s="1110"/>
      <c r="Y470" s="1110"/>
      <c r="Z470" s="1110"/>
      <c r="AA470" s="1106">
        <f t="shared" si="159"/>
        <v>0</v>
      </c>
      <c r="AB470" s="1113" t="e">
        <f t="shared" si="158"/>
        <v>#DIV/0!</v>
      </c>
      <c r="AC470" s="729"/>
    </row>
    <row r="471" spans="1:29" s="1128" customFormat="1" ht="64.5" hidden="1" customHeight="1" thickTop="1" thickBot="1" x14ac:dyDescent="0.3">
      <c r="A471" s="1121">
        <v>1</v>
      </c>
      <c r="B471" s="1122" t="s">
        <v>216</v>
      </c>
      <c r="C471" s="1122" t="s">
        <v>227</v>
      </c>
      <c r="D471" s="1122" t="s">
        <v>381</v>
      </c>
      <c r="E471" s="1122" t="s">
        <v>231</v>
      </c>
      <c r="F471" s="1122" t="s">
        <v>305</v>
      </c>
      <c r="G471" s="1122"/>
      <c r="H471" s="1122"/>
      <c r="I471" s="1122"/>
      <c r="J471" s="1122"/>
      <c r="K471" s="1124" t="s">
        <v>693</v>
      </c>
      <c r="L471" s="1125">
        <f>SUM(L472:L502)</f>
        <v>0</v>
      </c>
      <c r="M471" s="1125">
        <f t="shared" ref="M471:Z471" si="160">SUM(M472:M502)</f>
        <v>0</v>
      </c>
      <c r="N471" s="1125">
        <f t="shared" si="160"/>
        <v>0</v>
      </c>
      <c r="O471" s="1125">
        <f t="shared" si="160"/>
        <v>0</v>
      </c>
      <c r="P471" s="1125">
        <f t="shared" si="160"/>
        <v>0</v>
      </c>
      <c r="Q471" s="1125"/>
      <c r="R471" s="1125">
        <f t="shared" si="160"/>
        <v>0</v>
      </c>
      <c r="S471" s="1125"/>
      <c r="T471" s="1125">
        <f t="shared" si="160"/>
        <v>0</v>
      </c>
      <c r="U471" s="1125"/>
      <c r="V471" s="1125">
        <f t="shared" si="160"/>
        <v>0</v>
      </c>
      <c r="W471" s="1125"/>
      <c r="X471" s="1125">
        <f t="shared" si="160"/>
        <v>0</v>
      </c>
      <c r="Y471" s="1125">
        <f t="shared" si="160"/>
        <v>0</v>
      </c>
      <c r="Z471" s="1125">
        <f t="shared" si="160"/>
        <v>0</v>
      </c>
      <c r="AA471" s="1106">
        <f t="shared" si="159"/>
        <v>0</v>
      </c>
      <c r="AB471" s="1126" t="e">
        <f t="shared" si="158"/>
        <v>#DIV/0!</v>
      </c>
      <c r="AC471" s="1127"/>
    </row>
    <row r="472" spans="1:29" ht="73.5" hidden="1" customHeight="1" thickTop="1" thickBot="1" x14ac:dyDescent="0.3">
      <c r="A472" s="425">
        <v>1</v>
      </c>
      <c r="B472" s="505" t="s">
        <v>216</v>
      </c>
      <c r="C472" s="505" t="s">
        <v>227</v>
      </c>
      <c r="D472" s="505" t="s">
        <v>381</v>
      </c>
      <c r="E472" s="505" t="s">
        <v>231</v>
      </c>
      <c r="F472" s="505" t="s">
        <v>305</v>
      </c>
      <c r="G472" s="505" t="s">
        <v>220</v>
      </c>
      <c r="H472" s="505"/>
      <c r="I472" s="505"/>
      <c r="J472" s="505"/>
      <c r="K472" s="609" t="s">
        <v>694</v>
      </c>
      <c r="L472" s="1110"/>
      <c r="M472" s="1110"/>
      <c r="N472" s="1110"/>
      <c r="O472" s="1110">
        <f t="shared" ref="O472:O502" si="161">+L472+M472-N472</f>
        <v>0</v>
      </c>
      <c r="P472" s="1110"/>
      <c r="Q472" s="1110"/>
      <c r="R472" s="1110"/>
      <c r="S472" s="1110"/>
      <c r="T472" s="1110"/>
      <c r="U472" s="1110"/>
      <c r="V472" s="1110"/>
      <c r="W472" s="1110"/>
      <c r="X472" s="1110"/>
      <c r="Y472" s="1110"/>
      <c r="Z472" s="1110"/>
      <c r="AA472" s="1106">
        <f t="shared" si="159"/>
        <v>0</v>
      </c>
      <c r="AB472" s="1113" t="e">
        <f t="shared" si="158"/>
        <v>#DIV/0!</v>
      </c>
      <c r="AC472" s="729"/>
    </row>
    <row r="473" spans="1:29" ht="56.25" hidden="1" customHeight="1" thickTop="1" thickBot="1" x14ac:dyDescent="0.3">
      <c r="A473" s="425">
        <v>1</v>
      </c>
      <c r="B473" s="505" t="s">
        <v>216</v>
      </c>
      <c r="C473" s="505" t="s">
        <v>227</v>
      </c>
      <c r="D473" s="505" t="s">
        <v>381</v>
      </c>
      <c r="E473" s="505" t="s">
        <v>231</v>
      </c>
      <c r="F473" s="505" t="s">
        <v>305</v>
      </c>
      <c r="G473" s="505" t="s">
        <v>231</v>
      </c>
      <c r="H473" s="505"/>
      <c r="I473" s="505"/>
      <c r="J473" s="505"/>
      <c r="K473" s="609" t="s">
        <v>695</v>
      </c>
      <c r="L473" s="1110"/>
      <c r="M473" s="1110"/>
      <c r="N473" s="1110"/>
      <c r="O473" s="1110">
        <f t="shared" si="161"/>
        <v>0</v>
      </c>
      <c r="P473" s="1110"/>
      <c r="Q473" s="1110"/>
      <c r="R473" s="1110"/>
      <c r="S473" s="1110"/>
      <c r="T473" s="1110"/>
      <c r="U473" s="1110"/>
      <c r="V473" s="1110"/>
      <c r="W473" s="1110"/>
      <c r="X473" s="1110"/>
      <c r="Y473" s="1110"/>
      <c r="Z473" s="1110"/>
      <c r="AA473" s="1106">
        <f t="shared" si="159"/>
        <v>0</v>
      </c>
      <c r="AB473" s="1113" t="e">
        <f t="shared" si="158"/>
        <v>#DIV/0!</v>
      </c>
      <c r="AC473" s="729"/>
    </row>
    <row r="474" spans="1:29" ht="48" hidden="1" customHeight="1" thickTop="1" thickBot="1" x14ac:dyDescent="0.3">
      <c r="A474" s="425">
        <v>1</v>
      </c>
      <c r="B474" s="505" t="s">
        <v>216</v>
      </c>
      <c r="C474" s="505" t="s">
        <v>227</v>
      </c>
      <c r="D474" s="505" t="s">
        <v>381</v>
      </c>
      <c r="E474" s="505" t="s">
        <v>231</v>
      </c>
      <c r="F474" s="505" t="s">
        <v>305</v>
      </c>
      <c r="G474" s="505" t="s">
        <v>305</v>
      </c>
      <c r="H474" s="505"/>
      <c r="I474" s="505"/>
      <c r="J474" s="505"/>
      <c r="K474" s="609" t="s">
        <v>696</v>
      </c>
      <c r="L474" s="1110"/>
      <c r="M474" s="1110"/>
      <c r="N474" s="1110"/>
      <c r="O474" s="1110">
        <f t="shared" si="161"/>
        <v>0</v>
      </c>
      <c r="P474" s="1110"/>
      <c r="Q474" s="1110"/>
      <c r="R474" s="1110"/>
      <c r="S474" s="1110"/>
      <c r="T474" s="1110"/>
      <c r="U474" s="1110"/>
      <c r="V474" s="1110"/>
      <c r="W474" s="1110"/>
      <c r="X474" s="1110"/>
      <c r="Y474" s="1110"/>
      <c r="Z474" s="1110"/>
      <c r="AA474" s="1106">
        <f t="shared" si="159"/>
        <v>0</v>
      </c>
      <c r="AB474" s="1113" t="e">
        <f t="shared" si="158"/>
        <v>#DIV/0!</v>
      </c>
      <c r="AC474" s="729"/>
    </row>
    <row r="475" spans="1:29" ht="39" hidden="1" customHeight="1" thickTop="1" thickBot="1" x14ac:dyDescent="0.3">
      <c r="A475" s="425">
        <v>1</v>
      </c>
      <c r="B475" s="505" t="s">
        <v>216</v>
      </c>
      <c r="C475" s="505" t="s">
        <v>227</v>
      </c>
      <c r="D475" s="505" t="s">
        <v>381</v>
      </c>
      <c r="E475" s="505" t="s">
        <v>231</v>
      </c>
      <c r="F475" s="505" t="s">
        <v>305</v>
      </c>
      <c r="G475" s="505" t="s">
        <v>313</v>
      </c>
      <c r="H475" s="505"/>
      <c r="I475" s="505"/>
      <c r="J475" s="505"/>
      <c r="K475" s="609" t="s">
        <v>697</v>
      </c>
      <c r="L475" s="1110"/>
      <c r="M475" s="1110"/>
      <c r="N475" s="1110"/>
      <c r="O475" s="1110">
        <f t="shared" si="161"/>
        <v>0</v>
      </c>
      <c r="P475" s="1110"/>
      <c r="Q475" s="1110"/>
      <c r="R475" s="1110"/>
      <c r="S475" s="1110"/>
      <c r="T475" s="1110"/>
      <c r="U475" s="1110"/>
      <c r="V475" s="1110"/>
      <c r="W475" s="1110"/>
      <c r="X475" s="1110"/>
      <c r="Y475" s="1110"/>
      <c r="Z475" s="1110"/>
      <c r="AA475" s="1106">
        <f t="shared" si="159"/>
        <v>0</v>
      </c>
      <c r="AB475" s="1113" t="e">
        <f t="shared" si="158"/>
        <v>#DIV/0!</v>
      </c>
      <c r="AC475" s="729"/>
    </row>
    <row r="476" spans="1:29" ht="42.75" hidden="1" customHeight="1" thickTop="1" thickBot="1" x14ac:dyDescent="0.3">
      <c r="A476" s="425">
        <v>1</v>
      </c>
      <c r="B476" s="505" t="s">
        <v>216</v>
      </c>
      <c r="C476" s="505" t="s">
        <v>227</v>
      </c>
      <c r="D476" s="505" t="s">
        <v>381</v>
      </c>
      <c r="E476" s="505" t="s">
        <v>231</v>
      </c>
      <c r="F476" s="505" t="s">
        <v>305</v>
      </c>
      <c r="G476" s="505" t="s">
        <v>243</v>
      </c>
      <c r="H476" s="505"/>
      <c r="I476" s="505"/>
      <c r="J476" s="505"/>
      <c r="K476" s="609" t="s">
        <v>698</v>
      </c>
      <c r="L476" s="1110"/>
      <c r="M476" s="1110"/>
      <c r="N476" s="1110"/>
      <c r="O476" s="1110">
        <f t="shared" si="161"/>
        <v>0</v>
      </c>
      <c r="P476" s="1110"/>
      <c r="Q476" s="1110"/>
      <c r="R476" s="1110"/>
      <c r="S476" s="1110"/>
      <c r="T476" s="1110"/>
      <c r="U476" s="1110"/>
      <c r="V476" s="1110"/>
      <c r="W476" s="1110"/>
      <c r="X476" s="1110"/>
      <c r="Y476" s="1110"/>
      <c r="Z476" s="1110"/>
      <c r="AA476" s="1106">
        <f t="shared" si="159"/>
        <v>0</v>
      </c>
      <c r="AB476" s="1113" t="e">
        <f t="shared" si="158"/>
        <v>#DIV/0!</v>
      </c>
      <c r="AC476" s="729"/>
    </row>
    <row r="477" spans="1:29" ht="37.5" hidden="1" customHeight="1" thickTop="1" thickBot="1" x14ac:dyDescent="0.3">
      <c r="A477" s="425">
        <v>1</v>
      </c>
      <c r="B477" s="505" t="s">
        <v>216</v>
      </c>
      <c r="C477" s="505" t="s">
        <v>227</v>
      </c>
      <c r="D477" s="505" t="s">
        <v>381</v>
      </c>
      <c r="E477" s="505" t="s">
        <v>231</v>
      </c>
      <c r="F477" s="505" t="s">
        <v>305</v>
      </c>
      <c r="G477" s="505" t="s">
        <v>361</v>
      </c>
      <c r="H477" s="505"/>
      <c r="I477" s="505"/>
      <c r="J477" s="505"/>
      <c r="K477" s="609" t="s">
        <v>699</v>
      </c>
      <c r="L477" s="1110"/>
      <c r="M477" s="1110"/>
      <c r="N477" s="1110"/>
      <c r="O477" s="1110">
        <f t="shared" si="161"/>
        <v>0</v>
      </c>
      <c r="P477" s="1110"/>
      <c r="Q477" s="1110"/>
      <c r="R477" s="1110"/>
      <c r="S477" s="1110"/>
      <c r="T477" s="1110"/>
      <c r="U477" s="1110"/>
      <c r="V477" s="1110"/>
      <c r="W477" s="1110"/>
      <c r="X477" s="1110"/>
      <c r="Y477" s="1110"/>
      <c r="Z477" s="1110"/>
      <c r="AA477" s="1106">
        <f t="shared" si="159"/>
        <v>0</v>
      </c>
      <c r="AB477" s="1113" t="e">
        <f t="shared" si="158"/>
        <v>#DIV/0!</v>
      </c>
      <c r="AC477" s="729"/>
    </row>
    <row r="478" spans="1:29" ht="43.5" hidden="1" customHeight="1" thickTop="1" thickBot="1" x14ac:dyDescent="0.3">
      <c r="A478" s="425">
        <v>1</v>
      </c>
      <c r="B478" s="505" t="s">
        <v>216</v>
      </c>
      <c r="C478" s="505" t="s">
        <v>227</v>
      </c>
      <c r="D478" s="505" t="s">
        <v>381</v>
      </c>
      <c r="E478" s="505" t="s">
        <v>231</v>
      </c>
      <c r="F478" s="505" t="s">
        <v>305</v>
      </c>
      <c r="G478" s="505" t="s">
        <v>366</v>
      </c>
      <c r="H478" s="505"/>
      <c r="I478" s="505"/>
      <c r="J478" s="505"/>
      <c r="K478" s="609" t="s">
        <v>700</v>
      </c>
      <c r="L478" s="1110"/>
      <c r="M478" s="1110"/>
      <c r="N478" s="1110"/>
      <c r="O478" s="1110">
        <f t="shared" si="161"/>
        <v>0</v>
      </c>
      <c r="P478" s="1110"/>
      <c r="Q478" s="1110"/>
      <c r="R478" s="1110"/>
      <c r="S478" s="1110"/>
      <c r="T478" s="1110"/>
      <c r="U478" s="1110"/>
      <c r="V478" s="1110"/>
      <c r="W478" s="1110"/>
      <c r="X478" s="1110"/>
      <c r="Y478" s="1110"/>
      <c r="Z478" s="1110"/>
      <c r="AA478" s="1106">
        <f t="shared" si="159"/>
        <v>0</v>
      </c>
      <c r="AB478" s="1113" t="e">
        <f t="shared" si="158"/>
        <v>#DIV/0!</v>
      </c>
      <c r="AC478" s="729"/>
    </row>
    <row r="479" spans="1:29" ht="45.75" hidden="1" customHeight="1" thickTop="1" thickBot="1" x14ac:dyDescent="0.3">
      <c r="A479" s="425">
        <v>1</v>
      </c>
      <c r="B479" s="505" t="s">
        <v>216</v>
      </c>
      <c r="C479" s="505" t="s">
        <v>227</v>
      </c>
      <c r="D479" s="505" t="s">
        <v>381</v>
      </c>
      <c r="E479" s="505" t="s">
        <v>231</v>
      </c>
      <c r="F479" s="505" t="s">
        <v>305</v>
      </c>
      <c r="G479" s="505" t="s">
        <v>371</v>
      </c>
      <c r="H479" s="505"/>
      <c r="I479" s="505"/>
      <c r="J479" s="505"/>
      <c r="K479" s="609" t="s">
        <v>701</v>
      </c>
      <c r="L479" s="1110"/>
      <c r="M479" s="1110"/>
      <c r="N479" s="1110"/>
      <c r="O479" s="1110">
        <f t="shared" si="161"/>
        <v>0</v>
      </c>
      <c r="P479" s="1110"/>
      <c r="Q479" s="1110"/>
      <c r="R479" s="1110"/>
      <c r="S479" s="1110"/>
      <c r="T479" s="1110"/>
      <c r="U479" s="1110"/>
      <c r="V479" s="1110"/>
      <c r="W479" s="1110"/>
      <c r="X479" s="1110"/>
      <c r="Y479" s="1110"/>
      <c r="Z479" s="1110"/>
      <c r="AA479" s="1106">
        <f t="shared" si="159"/>
        <v>0</v>
      </c>
      <c r="AB479" s="1113" t="e">
        <f t="shared" si="158"/>
        <v>#DIV/0!</v>
      </c>
      <c r="AC479" s="729"/>
    </row>
    <row r="480" spans="1:29" ht="45" hidden="1" customHeight="1" thickTop="1" thickBot="1" x14ac:dyDescent="0.3">
      <c r="A480" s="425">
        <v>1</v>
      </c>
      <c r="B480" s="505" t="s">
        <v>216</v>
      </c>
      <c r="C480" s="505" t="s">
        <v>227</v>
      </c>
      <c r="D480" s="505" t="s">
        <v>381</v>
      </c>
      <c r="E480" s="505" t="s">
        <v>231</v>
      </c>
      <c r="F480" s="505" t="s">
        <v>305</v>
      </c>
      <c r="G480" s="505" t="s">
        <v>376</v>
      </c>
      <c r="H480" s="505"/>
      <c r="I480" s="505"/>
      <c r="J480" s="505"/>
      <c r="K480" s="609" t="s">
        <v>702</v>
      </c>
      <c r="L480" s="1110"/>
      <c r="M480" s="1110"/>
      <c r="N480" s="1110"/>
      <c r="O480" s="1110">
        <f t="shared" si="161"/>
        <v>0</v>
      </c>
      <c r="P480" s="1110"/>
      <c r="Q480" s="1110"/>
      <c r="R480" s="1110"/>
      <c r="S480" s="1110"/>
      <c r="T480" s="1110"/>
      <c r="U480" s="1110"/>
      <c r="V480" s="1110"/>
      <c r="W480" s="1110"/>
      <c r="X480" s="1110"/>
      <c r="Y480" s="1110"/>
      <c r="Z480" s="1110"/>
      <c r="AA480" s="1106">
        <f t="shared" si="159"/>
        <v>0</v>
      </c>
      <c r="AB480" s="1113" t="e">
        <f t="shared" si="158"/>
        <v>#DIV/0!</v>
      </c>
      <c r="AC480" s="729"/>
    </row>
    <row r="481" spans="1:29" ht="45.75" hidden="1" customHeight="1" thickTop="1" thickBot="1" x14ac:dyDescent="0.3">
      <c r="A481" s="425">
        <v>1</v>
      </c>
      <c r="B481" s="505" t="s">
        <v>216</v>
      </c>
      <c r="C481" s="505" t="s">
        <v>227</v>
      </c>
      <c r="D481" s="505" t="s">
        <v>381</v>
      </c>
      <c r="E481" s="505" t="s">
        <v>231</v>
      </c>
      <c r="F481" s="505" t="s">
        <v>305</v>
      </c>
      <c r="G481" s="505" t="s">
        <v>381</v>
      </c>
      <c r="H481" s="505"/>
      <c r="I481" s="505"/>
      <c r="J481" s="505"/>
      <c r="K481" s="609" t="s">
        <v>703</v>
      </c>
      <c r="L481" s="1110"/>
      <c r="M481" s="1110"/>
      <c r="N481" s="1110"/>
      <c r="O481" s="1110">
        <f t="shared" si="161"/>
        <v>0</v>
      </c>
      <c r="P481" s="1110"/>
      <c r="Q481" s="1110"/>
      <c r="R481" s="1110"/>
      <c r="S481" s="1110"/>
      <c r="T481" s="1110"/>
      <c r="U481" s="1110"/>
      <c r="V481" s="1110"/>
      <c r="W481" s="1110"/>
      <c r="X481" s="1110"/>
      <c r="Y481" s="1110"/>
      <c r="Z481" s="1110"/>
      <c r="AA481" s="1106">
        <f t="shared" si="159"/>
        <v>0</v>
      </c>
      <c r="AB481" s="1113" t="e">
        <f t="shared" si="158"/>
        <v>#DIV/0!</v>
      </c>
      <c r="AC481" s="729"/>
    </row>
    <row r="482" spans="1:29" ht="48" hidden="1" customHeight="1" thickTop="1" thickBot="1" x14ac:dyDescent="0.3">
      <c r="A482" s="425">
        <v>1</v>
      </c>
      <c r="B482" s="505" t="s">
        <v>216</v>
      </c>
      <c r="C482" s="505" t="s">
        <v>227</v>
      </c>
      <c r="D482" s="505" t="s">
        <v>381</v>
      </c>
      <c r="E482" s="505" t="s">
        <v>231</v>
      </c>
      <c r="F482" s="505" t="s">
        <v>305</v>
      </c>
      <c r="G482" s="505" t="s">
        <v>531</v>
      </c>
      <c r="H482" s="505"/>
      <c r="I482" s="505"/>
      <c r="J482" s="505"/>
      <c r="K482" s="609" t="s">
        <v>704</v>
      </c>
      <c r="L482" s="1110"/>
      <c r="M482" s="1110"/>
      <c r="N482" s="1110"/>
      <c r="O482" s="1110">
        <f t="shared" si="161"/>
        <v>0</v>
      </c>
      <c r="P482" s="1110"/>
      <c r="Q482" s="1110"/>
      <c r="R482" s="1110"/>
      <c r="S482" s="1110"/>
      <c r="T482" s="1110"/>
      <c r="U482" s="1110"/>
      <c r="V482" s="1110"/>
      <c r="W482" s="1110"/>
      <c r="X482" s="1110"/>
      <c r="Y482" s="1110"/>
      <c r="Z482" s="1110"/>
      <c r="AA482" s="1106">
        <f t="shared" si="159"/>
        <v>0</v>
      </c>
      <c r="AB482" s="1113" t="e">
        <f t="shared" si="158"/>
        <v>#DIV/0!</v>
      </c>
      <c r="AC482" s="729"/>
    </row>
    <row r="483" spans="1:29" ht="47.25" hidden="1" customHeight="1" thickTop="1" thickBot="1" x14ac:dyDescent="0.3">
      <c r="A483" s="425">
        <v>1</v>
      </c>
      <c r="B483" s="505" t="s">
        <v>216</v>
      </c>
      <c r="C483" s="505" t="s">
        <v>227</v>
      </c>
      <c r="D483" s="505" t="s">
        <v>381</v>
      </c>
      <c r="E483" s="505" t="s">
        <v>231</v>
      </c>
      <c r="F483" s="505" t="s">
        <v>305</v>
      </c>
      <c r="G483" s="505" t="s">
        <v>533</v>
      </c>
      <c r="H483" s="505"/>
      <c r="I483" s="505"/>
      <c r="J483" s="505"/>
      <c r="K483" s="609" t="s">
        <v>705</v>
      </c>
      <c r="L483" s="1110"/>
      <c r="M483" s="1110"/>
      <c r="N483" s="1110"/>
      <c r="O483" s="1110">
        <f t="shared" si="161"/>
        <v>0</v>
      </c>
      <c r="P483" s="1110"/>
      <c r="Q483" s="1110"/>
      <c r="R483" s="1110"/>
      <c r="S483" s="1110"/>
      <c r="T483" s="1110"/>
      <c r="U483" s="1110"/>
      <c r="V483" s="1110"/>
      <c r="W483" s="1110"/>
      <c r="X483" s="1110"/>
      <c r="Y483" s="1110"/>
      <c r="Z483" s="1110"/>
      <c r="AA483" s="1106">
        <f t="shared" si="159"/>
        <v>0</v>
      </c>
      <c r="AB483" s="1113" t="e">
        <f t="shared" si="158"/>
        <v>#DIV/0!</v>
      </c>
      <c r="AC483" s="729"/>
    </row>
    <row r="484" spans="1:29" ht="62.25" hidden="1" customHeight="1" thickTop="1" thickBot="1" x14ac:dyDescent="0.3">
      <c r="A484" s="425">
        <v>1</v>
      </c>
      <c r="B484" s="505" t="s">
        <v>216</v>
      </c>
      <c r="C484" s="505" t="s">
        <v>227</v>
      </c>
      <c r="D484" s="505" t="s">
        <v>381</v>
      </c>
      <c r="E484" s="505" t="s">
        <v>231</v>
      </c>
      <c r="F484" s="505" t="s">
        <v>305</v>
      </c>
      <c r="G484" s="505" t="s">
        <v>322</v>
      </c>
      <c r="H484" s="505"/>
      <c r="I484" s="505"/>
      <c r="J484" s="505"/>
      <c r="K484" s="609" t="s">
        <v>706</v>
      </c>
      <c r="L484" s="1110"/>
      <c r="M484" s="1110"/>
      <c r="N484" s="1110"/>
      <c r="O484" s="1110">
        <f t="shared" si="161"/>
        <v>0</v>
      </c>
      <c r="P484" s="1110"/>
      <c r="Q484" s="1110"/>
      <c r="R484" s="1110"/>
      <c r="S484" s="1110"/>
      <c r="T484" s="1110"/>
      <c r="U484" s="1110"/>
      <c r="V484" s="1110"/>
      <c r="W484" s="1110"/>
      <c r="X484" s="1110"/>
      <c r="Y484" s="1110"/>
      <c r="Z484" s="1110"/>
      <c r="AA484" s="1106">
        <f t="shared" si="159"/>
        <v>0</v>
      </c>
      <c r="AB484" s="1113" t="e">
        <f t="shared" si="158"/>
        <v>#DIV/0!</v>
      </c>
      <c r="AC484" s="729"/>
    </row>
    <row r="485" spans="1:29" ht="48.75" hidden="1" customHeight="1" thickTop="1" thickBot="1" x14ac:dyDescent="0.3">
      <c r="A485" s="425">
        <v>1</v>
      </c>
      <c r="B485" s="505" t="s">
        <v>216</v>
      </c>
      <c r="C485" s="505" t="s">
        <v>227</v>
      </c>
      <c r="D485" s="505" t="s">
        <v>381</v>
      </c>
      <c r="E485" s="505" t="s">
        <v>231</v>
      </c>
      <c r="F485" s="505" t="s">
        <v>305</v>
      </c>
      <c r="G485" s="505" t="s">
        <v>394</v>
      </c>
      <c r="H485" s="505"/>
      <c r="I485" s="505"/>
      <c r="J485" s="505"/>
      <c r="K485" s="609" t="s">
        <v>707</v>
      </c>
      <c r="L485" s="1110"/>
      <c r="M485" s="1110"/>
      <c r="N485" s="1110"/>
      <c r="O485" s="1110">
        <f t="shared" si="161"/>
        <v>0</v>
      </c>
      <c r="P485" s="1110"/>
      <c r="Q485" s="1110"/>
      <c r="R485" s="1110"/>
      <c r="S485" s="1110"/>
      <c r="T485" s="1110"/>
      <c r="U485" s="1110"/>
      <c r="V485" s="1110"/>
      <c r="W485" s="1110"/>
      <c r="X485" s="1110"/>
      <c r="Y485" s="1110"/>
      <c r="Z485" s="1110"/>
      <c r="AA485" s="1106">
        <f t="shared" si="159"/>
        <v>0</v>
      </c>
      <c r="AB485" s="1113" t="e">
        <f t="shared" si="158"/>
        <v>#DIV/0!</v>
      </c>
      <c r="AC485" s="729"/>
    </row>
    <row r="486" spans="1:29" ht="39" hidden="1" customHeight="1" thickTop="1" thickBot="1" x14ac:dyDescent="0.3">
      <c r="A486" s="425">
        <v>1</v>
      </c>
      <c r="B486" s="505" t="s">
        <v>216</v>
      </c>
      <c r="C486" s="505" t="s">
        <v>227</v>
      </c>
      <c r="D486" s="505" t="s">
        <v>381</v>
      </c>
      <c r="E486" s="505" t="s">
        <v>231</v>
      </c>
      <c r="F486" s="505" t="s">
        <v>305</v>
      </c>
      <c r="G486" s="505" t="s">
        <v>537</v>
      </c>
      <c r="H486" s="505"/>
      <c r="I486" s="505"/>
      <c r="J486" s="505"/>
      <c r="K486" s="609" t="s">
        <v>708</v>
      </c>
      <c r="L486" s="1110"/>
      <c r="M486" s="1110"/>
      <c r="N486" s="1110"/>
      <c r="O486" s="1110">
        <f t="shared" si="161"/>
        <v>0</v>
      </c>
      <c r="P486" s="1110"/>
      <c r="Q486" s="1110"/>
      <c r="R486" s="1110"/>
      <c r="S486" s="1110"/>
      <c r="T486" s="1110"/>
      <c r="U486" s="1110"/>
      <c r="V486" s="1110"/>
      <c r="W486" s="1110"/>
      <c r="X486" s="1110"/>
      <c r="Y486" s="1110"/>
      <c r="Z486" s="1110"/>
      <c r="AA486" s="1106">
        <f t="shared" si="159"/>
        <v>0</v>
      </c>
      <c r="AB486" s="1113" t="e">
        <f t="shared" si="158"/>
        <v>#DIV/0!</v>
      </c>
      <c r="AC486" s="729"/>
    </row>
    <row r="487" spans="1:29" ht="42.75" hidden="1" customHeight="1" thickTop="1" thickBot="1" x14ac:dyDescent="0.3">
      <c r="A487" s="425">
        <v>1</v>
      </c>
      <c r="B487" s="505" t="s">
        <v>216</v>
      </c>
      <c r="C487" s="505" t="s">
        <v>227</v>
      </c>
      <c r="D487" s="505" t="s">
        <v>381</v>
      </c>
      <c r="E487" s="505" t="s">
        <v>231</v>
      </c>
      <c r="F487" s="505" t="s">
        <v>305</v>
      </c>
      <c r="G487" s="505" t="s">
        <v>539</v>
      </c>
      <c r="H487" s="505"/>
      <c r="I487" s="505"/>
      <c r="J487" s="505"/>
      <c r="K487" s="609" t="s">
        <v>709</v>
      </c>
      <c r="L487" s="1110"/>
      <c r="M487" s="1110"/>
      <c r="N487" s="1110"/>
      <c r="O487" s="1110">
        <f t="shared" si="161"/>
        <v>0</v>
      </c>
      <c r="P487" s="1110"/>
      <c r="Q487" s="1110"/>
      <c r="R487" s="1110"/>
      <c r="S487" s="1110"/>
      <c r="T487" s="1110"/>
      <c r="U487" s="1110"/>
      <c r="V487" s="1110"/>
      <c r="W487" s="1110"/>
      <c r="X487" s="1110"/>
      <c r="Y487" s="1110"/>
      <c r="Z487" s="1110"/>
      <c r="AA487" s="1106">
        <f t="shared" si="159"/>
        <v>0</v>
      </c>
      <c r="AB487" s="1113" t="e">
        <f t="shared" si="158"/>
        <v>#DIV/0!</v>
      </c>
      <c r="AC487" s="729"/>
    </row>
    <row r="488" spans="1:29" ht="51" hidden="1" customHeight="1" thickTop="1" thickBot="1" x14ac:dyDescent="0.3">
      <c r="A488" s="425">
        <v>1</v>
      </c>
      <c r="B488" s="505" t="s">
        <v>216</v>
      </c>
      <c r="C488" s="505" t="s">
        <v>227</v>
      </c>
      <c r="D488" s="505" t="s">
        <v>381</v>
      </c>
      <c r="E488" s="505" t="s">
        <v>231</v>
      </c>
      <c r="F488" s="505" t="s">
        <v>305</v>
      </c>
      <c r="G488" s="505" t="s">
        <v>541</v>
      </c>
      <c r="H488" s="505"/>
      <c r="I488" s="505"/>
      <c r="J488" s="505"/>
      <c r="K488" s="609" t="s">
        <v>710</v>
      </c>
      <c r="L488" s="1110"/>
      <c r="M488" s="1110"/>
      <c r="N488" s="1110"/>
      <c r="O488" s="1110">
        <f t="shared" si="161"/>
        <v>0</v>
      </c>
      <c r="P488" s="1110"/>
      <c r="Q488" s="1110"/>
      <c r="R488" s="1110"/>
      <c r="S488" s="1110"/>
      <c r="T488" s="1110"/>
      <c r="U488" s="1110"/>
      <c r="V488" s="1110"/>
      <c r="W488" s="1110"/>
      <c r="X488" s="1110"/>
      <c r="Y488" s="1110"/>
      <c r="Z488" s="1110"/>
      <c r="AA488" s="1106">
        <f t="shared" si="159"/>
        <v>0</v>
      </c>
      <c r="AB488" s="1113" t="e">
        <f t="shared" si="158"/>
        <v>#DIV/0!</v>
      </c>
      <c r="AC488" s="729"/>
    </row>
    <row r="489" spans="1:29" ht="43.5" hidden="1" customHeight="1" thickTop="1" thickBot="1" x14ac:dyDescent="0.3">
      <c r="A489" s="425">
        <v>1</v>
      </c>
      <c r="B489" s="505" t="s">
        <v>216</v>
      </c>
      <c r="C489" s="505" t="s">
        <v>227</v>
      </c>
      <c r="D489" s="505" t="s">
        <v>381</v>
      </c>
      <c r="E489" s="505" t="s">
        <v>231</v>
      </c>
      <c r="F489" s="505" t="s">
        <v>305</v>
      </c>
      <c r="G489" s="505" t="s">
        <v>543</v>
      </c>
      <c r="H489" s="505"/>
      <c r="I489" s="505"/>
      <c r="J489" s="505"/>
      <c r="K489" s="609" t="s">
        <v>711</v>
      </c>
      <c r="L489" s="1110"/>
      <c r="M489" s="1110"/>
      <c r="N489" s="1110"/>
      <c r="O489" s="1110">
        <f t="shared" si="161"/>
        <v>0</v>
      </c>
      <c r="P489" s="1110"/>
      <c r="Q489" s="1110"/>
      <c r="R489" s="1110"/>
      <c r="S489" s="1110"/>
      <c r="T489" s="1110"/>
      <c r="U489" s="1110"/>
      <c r="V489" s="1110"/>
      <c r="W489" s="1110"/>
      <c r="X489" s="1110"/>
      <c r="Y489" s="1110"/>
      <c r="Z489" s="1110"/>
      <c r="AA489" s="1106">
        <f t="shared" si="159"/>
        <v>0</v>
      </c>
      <c r="AB489" s="1113" t="e">
        <f t="shared" si="158"/>
        <v>#DIV/0!</v>
      </c>
      <c r="AC489" s="729"/>
    </row>
    <row r="490" spans="1:29" ht="27.75" hidden="1" customHeight="1" thickTop="1" thickBot="1" x14ac:dyDescent="0.3">
      <c r="A490" s="425">
        <v>1</v>
      </c>
      <c r="B490" s="505" t="s">
        <v>216</v>
      </c>
      <c r="C490" s="505" t="s">
        <v>227</v>
      </c>
      <c r="D490" s="505" t="s">
        <v>381</v>
      </c>
      <c r="E490" s="505" t="s">
        <v>231</v>
      </c>
      <c r="F490" s="505" t="s">
        <v>305</v>
      </c>
      <c r="G490" s="505" t="s">
        <v>545</v>
      </c>
      <c r="H490" s="505"/>
      <c r="I490" s="505"/>
      <c r="J490" s="505"/>
      <c r="K490" s="609" t="s">
        <v>712</v>
      </c>
      <c r="L490" s="1110"/>
      <c r="M490" s="1110"/>
      <c r="N490" s="1110"/>
      <c r="O490" s="1110">
        <f t="shared" si="161"/>
        <v>0</v>
      </c>
      <c r="P490" s="1110"/>
      <c r="Q490" s="1110"/>
      <c r="R490" s="1110"/>
      <c r="S490" s="1110"/>
      <c r="T490" s="1110"/>
      <c r="U490" s="1110"/>
      <c r="V490" s="1110"/>
      <c r="W490" s="1110"/>
      <c r="X490" s="1110"/>
      <c r="Y490" s="1110"/>
      <c r="Z490" s="1110"/>
      <c r="AA490" s="1106">
        <f t="shared" si="159"/>
        <v>0</v>
      </c>
      <c r="AB490" s="1113" t="e">
        <f t="shared" si="158"/>
        <v>#DIV/0!</v>
      </c>
      <c r="AC490" s="729"/>
    </row>
    <row r="491" spans="1:29" ht="30.75" hidden="1" customHeight="1" thickTop="1" thickBot="1" x14ac:dyDescent="0.3">
      <c r="A491" s="425">
        <v>1</v>
      </c>
      <c r="B491" s="505" t="s">
        <v>216</v>
      </c>
      <c r="C491" s="505" t="s">
        <v>227</v>
      </c>
      <c r="D491" s="505" t="s">
        <v>381</v>
      </c>
      <c r="E491" s="505" t="s">
        <v>231</v>
      </c>
      <c r="F491" s="505" t="s">
        <v>305</v>
      </c>
      <c r="G491" s="505" t="s">
        <v>547</v>
      </c>
      <c r="H491" s="505"/>
      <c r="I491" s="505"/>
      <c r="J491" s="505"/>
      <c r="K491" s="609" t="s">
        <v>713</v>
      </c>
      <c r="L491" s="1110"/>
      <c r="M491" s="1110"/>
      <c r="N491" s="1110"/>
      <c r="O491" s="1110">
        <f t="shared" si="161"/>
        <v>0</v>
      </c>
      <c r="P491" s="1110"/>
      <c r="Q491" s="1110"/>
      <c r="R491" s="1110"/>
      <c r="S491" s="1110"/>
      <c r="T491" s="1110"/>
      <c r="U491" s="1110"/>
      <c r="V491" s="1110"/>
      <c r="W491" s="1110"/>
      <c r="X491" s="1110"/>
      <c r="Y491" s="1110"/>
      <c r="Z491" s="1110"/>
      <c r="AA491" s="1106">
        <f t="shared" si="159"/>
        <v>0</v>
      </c>
      <c r="AB491" s="1113" t="e">
        <f t="shared" si="158"/>
        <v>#DIV/0!</v>
      </c>
      <c r="AC491" s="729"/>
    </row>
    <row r="492" spans="1:29" ht="33.75" hidden="1" customHeight="1" thickTop="1" thickBot="1" x14ac:dyDescent="0.3">
      <c r="A492" s="425">
        <v>1</v>
      </c>
      <c r="B492" s="505" t="s">
        <v>216</v>
      </c>
      <c r="C492" s="505" t="s">
        <v>227</v>
      </c>
      <c r="D492" s="505" t="s">
        <v>381</v>
      </c>
      <c r="E492" s="505" t="s">
        <v>231</v>
      </c>
      <c r="F492" s="505" t="s">
        <v>305</v>
      </c>
      <c r="G492" s="505" t="s">
        <v>549</v>
      </c>
      <c r="H492" s="505"/>
      <c r="I492" s="505"/>
      <c r="J492" s="505"/>
      <c r="K492" s="609" t="s">
        <v>714</v>
      </c>
      <c r="L492" s="1110"/>
      <c r="M492" s="1110"/>
      <c r="N492" s="1110"/>
      <c r="O492" s="1110">
        <f t="shared" si="161"/>
        <v>0</v>
      </c>
      <c r="P492" s="1110"/>
      <c r="Q492" s="1110"/>
      <c r="R492" s="1110"/>
      <c r="S492" s="1110"/>
      <c r="T492" s="1110"/>
      <c r="U492" s="1110"/>
      <c r="V492" s="1110"/>
      <c r="W492" s="1110"/>
      <c r="X492" s="1110"/>
      <c r="Y492" s="1110"/>
      <c r="Z492" s="1110"/>
      <c r="AA492" s="1106">
        <f t="shared" si="159"/>
        <v>0</v>
      </c>
      <c r="AB492" s="1113" t="e">
        <f t="shared" si="158"/>
        <v>#DIV/0!</v>
      </c>
      <c r="AC492" s="729"/>
    </row>
    <row r="493" spans="1:29" ht="36" hidden="1" customHeight="1" thickTop="1" thickBot="1" x14ac:dyDescent="0.3">
      <c r="A493" s="425">
        <v>1</v>
      </c>
      <c r="B493" s="505" t="s">
        <v>216</v>
      </c>
      <c r="C493" s="505" t="s">
        <v>227</v>
      </c>
      <c r="D493" s="505" t="s">
        <v>381</v>
      </c>
      <c r="E493" s="505" t="s">
        <v>231</v>
      </c>
      <c r="F493" s="505" t="s">
        <v>305</v>
      </c>
      <c r="G493" s="505" t="s">
        <v>327</v>
      </c>
      <c r="H493" s="505"/>
      <c r="I493" s="505"/>
      <c r="J493" s="505"/>
      <c r="K493" s="609" t="s">
        <v>715</v>
      </c>
      <c r="L493" s="1110"/>
      <c r="M493" s="1110"/>
      <c r="N493" s="1110"/>
      <c r="O493" s="1110">
        <f t="shared" si="161"/>
        <v>0</v>
      </c>
      <c r="P493" s="1110"/>
      <c r="Q493" s="1110"/>
      <c r="R493" s="1110"/>
      <c r="S493" s="1110"/>
      <c r="T493" s="1110"/>
      <c r="U493" s="1110"/>
      <c r="V493" s="1110"/>
      <c r="W493" s="1110"/>
      <c r="X493" s="1110"/>
      <c r="Y493" s="1110"/>
      <c r="Z493" s="1110"/>
      <c r="AA493" s="1106">
        <f t="shared" si="159"/>
        <v>0</v>
      </c>
      <c r="AB493" s="1113" t="e">
        <f t="shared" si="158"/>
        <v>#DIV/0!</v>
      </c>
      <c r="AC493" s="729"/>
    </row>
    <row r="494" spans="1:29" ht="36" hidden="1" customHeight="1" thickTop="1" thickBot="1" x14ac:dyDescent="0.3">
      <c r="A494" s="425">
        <v>1</v>
      </c>
      <c r="B494" s="505" t="s">
        <v>216</v>
      </c>
      <c r="C494" s="505" t="s">
        <v>227</v>
      </c>
      <c r="D494" s="505" t="s">
        <v>381</v>
      </c>
      <c r="E494" s="505" t="s">
        <v>231</v>
      </c>
      <c r="F494" s="505" t="s">
        <v>305</v>
      </c>
      <c r="G494" s="505" t="s">
        <v>552</v>
      </c>
      <c r="H494" s="505"/>
      <c r="I494" s="505"/>
      <c r="J494" s="505"/>
      <c r="K494" s="609" t="s">
        <v>716</v>
      </c>
      <c r="L494" s="1110"/>
      <c r="M494" s="1110"/>
      <c r="N494" s="1110"/>
      <c r="O494" s="1110">
        <f t="shared" si="161"/>
        <v>0</v>
      </c>
      <c r="P494" s="1110"/>
      <c r="Q494" s="1110"/>
      <c r="R494" s="1110"/>
      <c r="S494" s="1110"/>
      <c r="T494" s="1110"/>
      <c r="U494" s="1110"/>
      <c r="V494" s="1110"/>
      <c r="W494" s="1110"/>
      <c r="X494" s="1110"/>
      <c r="Y494" s="1110"/>
      <c r="Z494" s="1110"/>
      <c r="AA494" s="1106">
        <f t="shared" si="159"/>
        <v>0</v>
      </c>
      <c r="AB494" s="1113" t="e">
        <f t="shared" si="158"/>
        <v>#DIV/0!</v>
      </c>
      <c r="AC494" s="729"/>
    </row>
    <row r="495" spans="1:29" ht="42.75" hidden="1" customHeight="1" thickTop="1" thickBot="1" x14ac:dyDescent="0.3">
      <c r="A495" s="425">
        <v>1</v>
      </c>
      <c r="B495" s="505" t="s">
        <v>216</v>
      </c>
      <c r="C495" s="505" t="s">
        <v>227</v>
      </c>
      <c r="D495" s="505" t="s">
        <v>381</v>
      </c>
      <c r="E495" s="505" t="s">
        <v>231</v>
      </c>
      <c r="F495" s="505" t="s">
        <v>305</v>
      </c>
      <c r="G495" s="505" t="s">
        <v>554</v>
      </c>
      <c r="H495" s="505"/>
      <c r="I495" s="505"/>
      <c r="J495" s="505"/>
      <c r="K495" s="609" t="s">
        <v>717</v>
      </c>
      <c r="L495" s="1110"/>
      <c r="M495" s="1110"/>
      <c r="N495" s="1110"/>
      <c r="O495" s="1110">
        <f t="shared" si="161"/>
        <v>0</v>
      </c>
      <c r="P495" s="1110"/>
      <c r="Q495" s="1110"/>
      <c r="R495" s="1110"/>
      <c r="S495" s="1110"/>
      <c r="T495" s="1110"/>
      <c r="U495" s="1110"/>
      <c r="V495" s="1110"/>
      <c r="W495" s="1110"/>
      <c r="X495" s="1110"/>
      <c r="Y495" s="1110"/>
      <c r="Z495" s="1110"/>
      <c r="AA495" s="1106">
        <f t="shared" si="159"/>
        <v>0</v>
      </c>
      <c r="AB495" s="1113" t="e">
        <f t="shared" si="158"/>
        <v>#DIV/0!</v>
      </c>
      <c r="AC495" s="729"/>
    </row>
    <row r="496" spans="1:29" ht="45" hidden="1" customHeight="1" thickTop="1" thickBot="1" x14ac:dyDescent="0.3">
      <c r="A496" s="425">
        <v>1</v>
      </c>
      <c r="B496" s="505" t="s">
        <v>216</v>
      </c>
      <c r="C496" s="505" t="s">
        <v>227</v>
      </c>
      <c r="D496" s="505" t="s">
        <v>381</v>
      </c>
      <c r="E496" s="505" t="s">
        <v>231</v>
      </c>
      <c r="F496" s="505" t="s">
        <v>305</v>
      </c>
      <c r="G496" s="505" t="s">
        <v>556</v>
      </c>
      <c r="H496" s="505"/>
      <c r="I496" s="505"/>
      <c r="J496" s="505"/>
      <c r="K496" s="609" t="s">
        <v>718</v>
      </c>
      <c r="L496" s="1110"/>
      <c r="M496" s="1110"/>
      <c r="N496" s="1110"/>
      <c r="O496" s="1110">
        <f t="shared" si="161"/>
        <v>0</v>
      </c>
      <c r="P496" s="1110"/>
      <c r="Q496" s="1110"/>
      <c r="R496" s="1110"/>
      <c r="S496" s="1110"/>
      <c r="T496" s="1110"/>
      <c r="U496" s="1110"/>
      <c r="V496" s="1110"/>
      <c r="W496" s="1110"/>
      <c r="X496" s="1110"/>
      <c r="Y496" s="1110"/>
      <c r="Z496" s="1110"/>
      <c r="AA496" s="1106">
        <f t="shared" si="159"/>
        <v>0</v>
      </c>
      <c r="AB496" s="1113" t="e">
        <f t="shared" si="158"/>
        <v>#DIV/0!</v>
      </c>
      <c r="AC496" s="729"/>
    </row>
    <row r="497" spans="1:29" ht="51" hidden="1" customHeight="1" thickTop="1" thickBot="1" x14ac:dyDescent="0.3">
      <c r="A497" s="425">
        <v>1</v>
      </c>
      <c r="B497" s="505" t="s">
        <v>216</v>
      </c>
      <c r="C497" s="505" t="s">
        <v>227</v>
      </c>
      <c r="D497" s="505" t="s">
        <v>381</v>
      </c>
      <c r="E497" s="505" t="s">
        <v>231</v>
      </c>
      <c r="F497" s="505" t="s">
        <v>305</v>
      </c>
      <c r="G497" s="505" t="s">
        <v>558</v>
      </c>
      <c r="H497" s="505"/>
      <c r="I497" s="505"/>
      <c r="J497" s="505"/>
      <c r="K497" s="609" t="s">
        <v>719</v>
      </c>
      <c r="L497" s="1110"/>
      <c r="M497" s="1110"/>
      <c r="N497" s="1110"/>
      <c r="O497" s="1110">
        <f t="shared" si="161"/>
        <v>0</v>
      </c>
      <c r="P497" s="1110"/>
      <c r="Q497" s="1110"/>
      <c r="R497" s="1110"/>
      <c r="S497" s="1110"/>
      <c r="T497" s="1110"/>
      <c r="U497" s="1110"/>
      <c r="V497" s="1110"/>
      <c r="W497" s="1110"/>
      <c r="X497" s="1110"/>
      <c r="Y497" s="1110"/>
      <c r="Z497" s="1110"/>
      <c r="AA497" s="1106">
        <f t="shared" si="159"/>
        <v>0</v>
      </c>
      <c r="AB497" s="1113" t="e">
        <f t="shared" si="158"/>
        <v>#DIV/0!</v>
      </c>
      <c r="AC497" s="729"/>
    </row>
    <row r="498" spans="1:29" ht="51.75" hidden="1" customHeight="1" thickTop="1" thickBot="1" x14ac:dyDescent="0.3">
      <c r="A498" s="425">
        <v>1</v>
      </c>
      <c r="B498" s="505" t="s">
        <v>216</v>
      </c>
      <c r="C498" s="505" t="s">
        <v>227</v>
      </c>
      <c r="D498" s="505" t="s">
        <v>381</v>
      </c>
      <c r="E498" s="505" t="s">
        <v>231</v>
      </c>
      <c r="F498" s="505" t="s">
        <v>305</v>
      </c>
      <c r="G498" s="505" t="s">
        <v>560</v>
      </c>
      <c r="H498" s="505"/>
      <c r="I498" s="505"/>
      <c r="J498" s="505"/>
      <c r="K498" s="609" t="s">
        <v>720</v>
      </c>
      <c r="L498" s="1110"/>
      <c r="M498" s="1110"/>
      <c r="N498" s="1110"/>
      <c r="O498" s="1110">
        <f t="shared" si="161"/>
        <v>0</v>
      </c>
      <c r="P498" s="1110"/>
      <c r="Q498" s="1110"/>
      <c r="R498" s="1110"/>
      <c r="S498" s="1110"/>
      <c r="T498" s="1110"/>
      <c r="U498" s="1110"/>
      <c r="V498" s="1110"/>
      <c r="W498" s="1110"/>
      <c r="X498" s="1110"/>
      <c r="Y498" s="1110"/>
      <c r="Z498" s="1110"/>
      <c r="AA498" s="1106">
        <f t="shared" si="159"/>
        <v>0</v>
      </c>
      <c r="AB498" s="1113" t="e">
        <f t="shared" si="158"/>
        <v>#DIV/0!</v>
      </c>
      <c r="AC498" s="729"/>
    </row>
    <row r="499" spans="1:29" ht="43.5" hidden="1" customHeight="1" thickTop="1" thickBot="1" x14ac:dyDescent="0.3">
      <c r="A499" s="425">
        <v>1</v>
      </c>
      <c r="B499" s="505" t="s">
        <v>216</v>
      </c>
      <c r="C499" s="505" t="s">
        <v>227</v>
      </c>
      <c r="D499" s="505" t="s">
        <v>381</v>
      </c>
      <c r="E499" s="505" t="s">
        <v>231</v>
      </c>
      <c r="F499" s="505" t="s">
        <v>305</v>
      </c>
      <c r="G499" s="505" t="s">
        <v>562</v>
      </c>
      <c r="H499" s="505"/>
      <c r="I499" s="505"/>
      <c r="J499" s="505"/>
      <c r="K499" s="609" t="s">
        <v>721</v>
      </c>
      <c r="L499" s="1110"/>
      <c r="M499" s="1110"/>
      <c r="N499" s="1110"/>
      <c r="O499" s="1110">
        <f t="shared" si="161"/>
        <v>0</v>
      </c>
      <c r="P499" s="1110"/>
      <c r="Q499" s="1110"/>
      <c r="R499" s="1110"/>
      <c r="S499" s="1110"/>
      <c r="T499" s="1110"/>
      <c r="U499" s="1110"/>
      <c r="V499" s="1110"/>
      <c r="W499" s="1110"/>
      <c r="X499" s="1110"/>
      <c r="Y499" s="1110"/>
      <c r="Z499" s="1110"/>
      <c r="AA499" s="1106">
        <f t="shared" si="159"/>
        <v>0</v>
      </c>
      <c r="AB499" s="1113" t="e">
        <f t="shared" si="158"/>
        <v>#DIV/0!</v>
      </c>
      <c r="AC499" s="729"/>
    </row>
    <row r="500" spans="1:29" ht="36.75" hidden="1" customHeight="1" thickTop="1" thickBot="1" x14ac:dyDescent="0.3">
      <c r="A500" s="425">
        <v>1</v>
      </c>
      <c r="B500" s="505" t="s">
        <v>216</v>
      </c>
      <c r="C500" s="505" t="s">
        <v>227</v>
      </c>
      <c r="D500" s="505" t="s">
        <v>381</v>
      </c>
      <c r="E500" s="505" t="s">
        <v>231</v>
      </c>
      <c r="F500" s="505" t="s">
        <v>305</v>
      </c>
      <c r="G500" s="505" t="s">
        <v>564</v>
      </c>
      <c r="H500" s="505"/>
      <c r="I500" s="505"/>
      <c r="J500" s="505"/>
      <c r="K500" s="609" t="s">
        <v>722</v>
      </c>
      <c r="L500" s="1110"/>
      <c r="M500" s="1110"/>
      <c r="N500" s="1110"/>
      <c r="O500" s="1110">
        <f t="shared" si="161"/>
        <v>0</v>
      </c>
      <c r="P500" s="1110"/>
      <c r="Q500" s="1110"/>
      <c r="R500" s="1110"/>
      <c r="S500" s="1110"/>
      <c r="T500" s="1110"/>
      <c r="U500" s="1110"/>
      <c r="V500" s="1110"/>
      <c r="W500" s="1110"/>
      <c r="X500" s="1110"/>
      <c r="Y500" s="1110"/>
      <c r="Z500" s="1110"/>
      <c r="AA500" s="1106">
        <f t="shared" si="159"/>
        <v>0</v>
      </c>
      <c r="AB500" s="1113" t="e">
        <f t="shared" si="158"/>
        <v>#DIV/0!</v>
      </c>
      <c r="AC500" s="729"/>
    </row>
    <row r="501" spans="1:29" ht="52.5" hidden="1" customHeight="1" thickTop="1" thickBot="1" x14ac:dyDescent="0.3">
      <c r="A501" s="425">
        <v>1</v>
      </c>
      <c r="B501" s="505" t="s">
        <v>216</v>
      </c>
      <c r="C501" s="505" t="s">
        <v>227</v>
      </c>
      <c r="D501" s="505" t="s">
        <v>381</v>
      </c>
      <c r="E501" s="505" t="s">
        <v>231</v>
      </c>
      <c r="F501" s="505" t="s">
        <v>305</v>
      </c>
      <c r="G501" s="505" t="s">
        <v>566</v>
      </c>
      <c r="H501" s="505"/>
      <c r="I501" s="505"/>
      <c r="J501" s="505"/>
      <c r="K501" s="609" t="s">
        <v>723</v>
      </c>
      <c r="L501" s="1110"/>
      <c r="M501" s="1110"/>
      <c r="N501" s="1110"/>
      <c r="O501" s="1110">
        <f t="shared" si="161"/>
        <v>0</v>
      </c>
      <c r="P501" s="1110"/>
      <c r="Q501" s="1110"/>
      <c r="R501" s="1110"/>
      <c r="S501" s="1110"/>
      <c r="T501" s="1110"/>
      <c r="U501" s="1110"/>
      <c r="V501" s="1110"/>
      <c r="W501" s="1110"/>
      <c r="X501" s="1110"/>
      <c r="Y501" s="1110"/>
      <c r="Z501" s="1110"/>
      <c r="AA501" s="1106">
        <f t="shared" si="159"/>
        <v>0</v>
      </c>
      <c r="AB501" s="1113" t="e">
        <f t="shared" si="158"/>
        <v>#DIV/0!</v>
      </c>
      <c r="AC501" s="729"/>
    </row>
    <row r="502" spans="1:29" ht="60.75" hidden="1" customHeight="1" thickTop="1" thickBot="1" x14ac:dyDescent="0.3">
      <c r="A502" s="425">
        <v>1</v>
      </c>
      <c r="B502" s="505" t="s">
        <v>216</v>
      </c>
      <c r="C502" s="505" t="s">
        <v>227</v>
      </c>
      <c r="D502" s="505" t="s">
        <v>381</v>
      </c>
      <c r="E502" s="505" t="s">
        <v>231</v>
      </c>
      <c r="F502" s="505" t="s">
        <v>305</v>
      </c>
      <c r="G502" s="505" t="s">
        <v>657</v>
      </c>
      <c r="H502" s="505"/>
      <c r="I502" s="505"/>
      <c r="J502" s="505"/>
      <c r="K502" s="609" t="s">
        <v>724</v>
      </c>
      <c r="L502" s="1110"/>
      <c r="M502" s="1110"/>
      <c r="N502" s="1110"/>
      <c r="O502" s="1110">
        <f t="shared" si="161"/>
        <v>0</v>
      </c>
      <c r="P502" s="1110"/>
      <c r="Q502" s="1110"/>
      <c r="R502" s="1110"/>
      <c r="S502" s="1110"/>
      <c r="T502" s="1110"/>
      <c r="U502" s="1110"/>
      <c r="V502" s="1110"/>
      <c r="W502" s="1110"/>
      <c r="X502" s="1110"/>
      <c r="Y502" s="1110"/>
      <c r="Z502" s="1110"/>
      <c r="AA502" s="1106">
        <f t="shared" si="159"/>
        <v>0</v>
      </c>
      <c r="AB502" s="1113" t="e">
        <f t="shared" si="158"/>
        <v>#DIV/0!</v>
      </c>
      <c r="AC502" s="729"/>
    </row>
    <row r="503" spans="1:29" s="1090" customFormat="1" ht="26.25" hidden="1" customHeight="1" thickTop="1" thickBot="1" x14ac:dyDescent="0.3">
      <c r="A503" s="1086">
        <v>1</v>
      </c>
      <c r="B503" s="421" t="s">
        <v>216</v>
      </c>
      <c r="C503" s="421" t="s">
        <v>227</v>
      </c>
      <c r="D503" s="421" t="s">
        <v>322</v>
      </c>
      <c r="E503" s="421"/>
      <c r="F503" s="421"/>
      <c r="G503" s="421"/>
      <c r="H503" s="421"/>
      <c r="I503" s="421"/>
      <c r="J503" s="421"/>
      <c r="K503" s="1087" t="s">
        <v>725</v>
      </c>
      <c r="L503" s="1088">
        <f>+L504+L505</f>
        <v>0</v>
      </c>
      <c r="M503" s="1088">
        <f t="shared" ref="M503:Z503" si="162">+M504+M505</f>
        <v>0</v>
      </c>
      <c r="N503" s="1088">
        <f t="shared" si="162"/>
        <v>0</v>
      </c>
      <c r="O503" s="1088">
        <f t="shared" si="162"/>
        <v>0</v>
      </c>
      <c r="P503" s="1088">
        <f t="shared" si="162"/>
        <v>0</v>
      </c>
      <c r="Q503" s="1088"/>
      <c r="R503" s="1088">
        <f t="shared" si="162"/>
        <v>0</v>
      </c>
      <c r="S503" s="1088"/>
      <c r="T503" s="1088">
        <f t="shared" si="162"/>
        <v>0</v>
      </c>
      <c r="U503" s="1088"/>
      <c r="V503" s="1088">
        <f t="shared" si="162"/>
        <v>0</v>
      </c>
      <c r="W503" s="1088"/>
      <c r="X503" s="1088">
        <f t="shared" si="162"/>
        <v>0</v>
      </c>
      <c r="Y503" s="1088">
        <f t="shared" si="162"/>
        <v>0</v>
      </c>
      <c r="Z503" s="1088">
        <f t="shared" si="162"/>
        <v>0</v>
      </c>
      <c r="AA503" s="1106">
        <f t="shared" si="159"/>
        <v>0</v>
      </c>
      <c r="AB503" s="1089" t="e">
        <f t="shared" si="158"/>
        <v>#DIV/0!</v>
      </c>
      <c r="AC503" s="511"/>
    </row>
    <row r="504" spans="1:29" ht="28.5" hidden="1" customHeight="1" thickTop="1" thickBot="1" x14ac:dyDescent="0.3">
      <c r="A504" s="425">
        <v>1</v>
      </c>
      <c r="B504" s="505" t="s">
        <v>216</v>
      </c>
      <c r="C504" s="505" t="s">
        <v>227</v>
      </c>
      <c r="D504" s="505" t="s">
        <v>322</v>
      </c>
      <c r="E504" s="505" t="s">
        <v>220</v>
      </c>
      <c r="F504" s="505"/>
      <c r="G504" s="505"/>
      <c r="H504" s="505"/>
      <c r="I504" s="505"/>
      <c r="J504" s="505"/>
      <c r="K504" s="609" t="s">
        <v>726</v>
      </c>
      <c r="L504" s="1110"/>
      <c r="M504" s="1110"/>
      <c r="N504" s="1110"/>
      <c r="O504" s="1110">
        <f>+L504+M504-N504</f>
        <v>0</v>
      </c>
      <c r="P504" s="1110"/>
      <c r="Q504" s="1110"/>
      <c r="R504" s="1110"/>
      <c r="S504" s="1110"/>
      <c r="T504" s="1110"/>
      <c r="U504" s="1110"/>
      <c r="V504" s="1110"/>
      <c r="W504" s="1110"/>
      <c r="X504" s="1110"/>
      <c r="Y504" s="1110"/>
      <c r="Z504" s="1110"/>
      <c r="AA504" s="1106">
        <f t="shared" si="159"/>
        <v>0</v>
      </c>
      <c r="AB504" s="1113" t="e">
        <f t="shared" si="158"/>
        <v>#DIV/0!</v>
      </c>
      <c r="AC504" s="729"/>
    </row>
    <row r="505" spans="1:29" ht="38.25" hidden="1" customHeight="1" thickTop="1" thickBot="1" x14ac:dyDescent="0.3">
      <c r="A505" s="425">
        <v>1</v>
      </c>
      <c r="B505" s="505" t="s">
        <v>216</v>
      </c>
      <c r="C505" s="505" t="s">
        <v>227</v>
      </c>
      <c r="D505" s="505" t="s">
        <v>322</v>
      </c>
      <c r="E505" s="505" t="s">
        <v>231</v>
      </c>
      <c r="F505" s="505"/>
      <c r="G505" s="505"/>
      <c r="H505" s="505"/>
      <c r="I505" s="505"/>
      <c r="J505" s="505"/>
      <c r="K505" s="609" t="s">
        <v>727</v>
      </c>
      <c r="L505" s="1110"/>
      <c r="M505" s="1110"/>
      <c r="N505" s="1110"/>
      <c r="O505" s="1110">
        <f>+L505+M505-N505</f>
        <v>0</v>
      </c>
      <c r="P505" s="1110"/>
      <c r="Q505" s="1110"/>
      <c r="R505" s="1110"/>
      <c r="S505" s="1110"/>
      <c r="T505" s="1110"/>
      <c r="U505" s="1110"/>
      <c r="V505" s="1110"/>
      <c r="W505" s="1110"/>
      <c r="X505" s="1110"/>
      <c r="Y505" s="1110"/>
      <c r="Z505" s="1110"/>
      <c r="AA505" s="1106">
        <f t="shared" si="159"/>
        <v>0</v>
      </c>
      <c r="AB505" s="1113" t="e">
        <f t="shared" si="158"/>
        <v>#DIV/0!</v>
      </c>
      <c r="AC505" s="729"/>
    </row>
    <row r="506" spans="1:29" s="1078" customFormat="1" ht="63" customHeight="1" thickTop="1" thickBot="1" x14ac:dyDescent="0.3">
      <c r="A506" s="1151">
        <v>1</v>
      </c>
      <c r="B506" s="1151">
        <v>2</v>
      </c>
      <c r="C506" s="417"/>
      <c r="D506" s="417"/>
      <c r="E506" s="417"/>
      <c r="F506" s="417"/>
      <c r="G506" s="417"/>
      <c r="H506" s="417"/>
      <c r="I506" s="417"/>
      <c r="J506" s="417"/>
      <c r="K506" s="1074" t="s">
        <v>728</v>
      </c>
      <c r="L506" s="1075">
        <f>+L507+L512</f>
        <v>11376229196</v>
      </c>
      <c r="M506" s="1075">
        <f t="shared" ref="M506:X506" si="163">+M507+M512</f>
        <v>0</v>
      </c>
      <c r="N506" s="1075">
        <f t="shared" si="163"/>
        <v>0</v>
      </c>
      <c r="O506" s="1075">
        <f>+O507+O512</f>
        <v>11376229196</v>
      </c>
      <c r="P506" s="1075">
        <f t="shared" si="163"/>
        <v>2503700000</v>
      </c>
      <c r="Q506" s="1075"/>
      <c r="R506" s="1075">
        <f t="shared" si="163"/>
        <v>0</v>
      </c>
      <c r="S506" s="1075"/>
      <c r="T506" s="1075">
        <f t="shared" si="163"/>
        <v>0</v>
      </c>
      <c r="U506" s="1075"/>
      <c r="V506" s="1075">
        <f t="shared" si="163"/>
        <v>1872529196</v>
      </c>
      <c r="W506" s="1075"/>
      <c r="X506" s="1075">
        <f t="shared" si="163"/>
        <v>0</v>
      </c>
      <c r="Y506" s="1075">
        <f>+Y507</f>
        <v>1213652000</v>
      </c>
      <c r="Z506" s="1075">
        <f>+Z507</f>
        <v>10159121908</v>
      </c>
      <c r="AA506" s="1106">
        <f t="shared" si="159"/>
        <v>11372773908</v>
      </c>
      <c r="AB506" s="1076" t="e">
        <f t="shared" si="158"/>
        <v>#DIV/0!</v>
      </c>
      <c r="AC506" s="1077"/>
    </row>
    <row r="507" spans="1:29" s="1085" customFormat="1" ht="49.5" customHeight="1" thickTop="1" thickBot="1" x14ac:dyDescent="0.3">
      <c r="A507" s="1079">
        <v>1</v>
      </c>
      <c r="B507" s="1079">
        <v>2</v>
      </c>
      <c r="C507" s="1080" t="s">
        <v>216</v>
      </c>
      <c r="D507" s="1080"/>
      <c r="E507" s="1080"/>
      <c r="F507" s="1080"/>
      <c r="G507" s="1080"/>
      <c r="H507" s="1080"/>
      <c r="I507" s="1080"/>
      <c r="J507" s="1080"/>
      <c r="K507" s="1081" t="s">
        <v>729</v>
      </c>
      <c r="L507" s="1082">
        <f>+L508+L510+L511+L519</f>
        <v>11376229196</v>
      </c>
      <c r="M507" s="1082">
        <f t="shared" ref="M507:Y507" si="164">SUM(M508:M511)</f>
        <v>0</v>
      </c>
      <c r="N507" s="1082">
        <f t="shared" si="164"/>
        <v>0</v>
      </c>
      <c r="O507" s="1082">
        <f>SUM(O508:O519)</f>
        <v>11376229196</v>
      </c>
      <c r="P507" s="1082">
        <f t="shared" si="164"/>
        <v>2503700000</v>
      </c>
      <c r="Q507" s="1082"/>
      <c r="R507" s="1082">
        <f t="shared" si="164"/>
        <v>0</v>
      </c>
      <c r="S507" s="1082"/>
      <c r="T507" s="1082">
        <f t="shared" si="164"/>
        <v>0</v>
      </c>
      <c r="U507" s="1082"/>
      <c r="V507" s="1082">
        <f t="shared" si="164"/>
        <v>1872529196</v>
      </c>
      <c r="W507" s="1082"/>
      <c r="X507" s="1082">
        <f t="shared" si="164"/>
        <v>0</v>
      </c>
      <c r="Y507" s="1082">
        <f t="shared" si="164"/>
        <v>1213652000</v>
      </c>
      <c r="Z507" s="1082">
        <f>+Z508+Z510+Z511+Z519</f>
        <v>10159121908</v>
      </c>
      <c r="AA507" s="1106">
        <f t="shared" si="159"/>
        <v>11372773908</v>
      </c>
      <c r="AB507" s="1083" t="e">
        <f t="shared" si="158"/>
        <v>#DIV/0!</v>
      </c>
      <c r="AC507" s="1084"/>
    </row>
    <row r="508" spans="1:29" ht="22.5" customHeight="1" thickTop="1" thickBot="1" x14ac:dyDescent="0.3">
      <c r="A508" s="425">
        <v>1</v>
      </c>
      <c r="B508" s="425">
        <v>2</v>
      </c>
      <c r="C508" s="505" t="s">
        <v>216</v>
      </c>
      <c r="D508" s="505" t="s">
        <v>220</v>
      </c>
      <c r="E508" s="505"/>
      <c r="F508" s="505"/>
      <c r="G508" s="505"/>
      <c r="H508" s="505"/>
      <c r="I508" s="505"/>
      <c r="J508" s="505"/>
      <c r="K508" s="1108" t="s">
        <v>730</v>
      </c>
      <c r="L508" s="1110">
        <f>+'[6]EJECUCION DE INGRESOS A CORTE 3'!D26</f>
        <v>2485400000</v>
      </c>
      <c r="M508" s="1110"/>
      <c r="N508" s="1110"/>
      <c r="O508" s="1111">
        <f>+L508+M508-N508</f>
        <v>2485400000</v>
      </c>
      <c r="P508" s="1111">
        <f>+O508*Q508</f>
        <v>2485400000</v>
      </c>
      <c r="Q508" s="745">
        <v>1</v>
      </c>
      <c r="R508" s="1110"/>
      <c r="S508" s="1110"/>
      <c r="T508" s="1110"/>
      <c r="U508" s="1110"/>
      <c r="V508" s="1110"/>
      <c r="W508" s="1110"/>
      <c r="X508" s="1110"/>
      <c r="Y508" s="1111">
        <v>1213652000</v>
      </c>
      <c r="Z508" s="1110">
        <v>1268292712</v>
      </c>
      <c r="AA508" s="1106">
        <f t="shared" si="159"/>
        <v>2481944712</v>
      </c>
      <c r="AB508" s="1113" t="e">
        <f t="shared" si="158"/>
        <v>#DIV/0!</v>
      </c>
      <c r="AC508" s="729"/>
    </row>
    <row r="509" spans="1:29" ht="22.5" hidden="1" customHeight="1" thickTop="1" thickBot="1" x14ac:dyDescent="0.3">
      <c r="A509" s="425">
        <v>1</v>
      </c>
      <c r="B509" s="425">
        <v>2</v>
      </c>
      <c r="C509" s="505" t="s">
        <v>216</v>
      </c>
      <c r="D509" s="505" t="s">
        <v>231</v>
      </c>
      <c r="E509" s="505"/>
      <c r="F509" s="505"/>
      <c r="G509" s="505"/>
      <c r="H509" s="505"/>
      <c r="I509" s="505"/>
      <c r="J509" s="505"/>
      <c r="K509" s="609" t="s">
        <v>731</v>
      </c>
      <c r="L509" s="1110"/>
      <c r="M509" s="1110"/>
      <c r="N509" s="1110"/>
      <c r="O509" s="1110">
        <f>+L509+M509-N509</f>
        <v>0</v>
      </c>
      <c r="P509" s="1110"/>
      <c r="Q509" s="1110"/>
      <c r="R509" s="1110"/>
      <c r="S509" s="1110"/>
      <c r="T509" s="1110"/>
      <c r="U509" s="1110"/>
      <c r="V509" s="1110"/>
      <c r="W509" s="1110"/>
      <c r="X509" s="1110"/>
      <c r="Y509" s="1110">
        <v>0</v>
      </c>
      <c r="Z509" s="1110">
        <v>0</v>
      </c>
      <c r="AA509" s="1106">
        <f t="shared" si="159"/>
        <v>0</v>
      </c>
      <c r="AB509" s="1113" t="e">
        <f t="shared" si="158"/>
        <v>#DIV/0!</v>
      </c>
      <c r="AC509" s="729"/>
    </row>
    <row r="510" spans="1:29" ht="22.5" customHeight="1" thickTop="1" thickBot="1" x14ac:dyDescent="0.3">
      <c r="A510" s="425">
        <v>1</v>
      </c>
      <c r="B510" s="425">
        <v>2</v>
      </c>
      <c r="C510" s="505" t="s">
        <v>216</v>
      </c>
      <c r="D510" s="505" t="s">
        <v>305</v>
      </c>
      <c r="E510" s="505"/>
      <c r="F510" s="505"/>
      <c r="G510" s="505"/>
      <c r="H510" s="505"/>
      <c r="I510" s="505"/>
      <c r="J510" s="505"/>
      <c r="K510" s="1108" t="s">
        <v>732</v>
      </c>
      <c r="L510" s="1110">
        <f>+'[6]EJECUCION DE INGRESOS A CORTE 3'!D27</f>
        <v>18300000</v>
      </c>
      <c r="M510" s="1110"/>
      <c r="N510" s="1110"/>
      <c r="O510" s="1111">
        <f>+L510+M510-N510</f>
        <v>18300000</v>
      </c>
      <c r="P510" s="1111">
        <f t="shared" ref="P510" si="165">+O510*Q510</f>
        <v>18300000</v>
      </c>
      <c r="Q510" s="745">
        <v>1</v>
      </c>
      <c r="R510" s="1110"/>
      <c r="S510" s="1110"/>
      <c r="T510" s="1110"/>
      <c r="U510" s="1110"/>
      <c r="V510" s="1110"/>
      <c r="W510" s="1110"/>
      <c r="X510" s="1110"/>
      <c r="Y510" s="1110"/>
      <c r="Z510" s="1110">
        <v>18300000</v>
      </c>
      <c r="AA510" s="1106">
        <f t="shared" si="159"/>
        <v>18300000</v>
      </c>
      <c r="AB510" s="1113" t="e">
        <f t="shared" si="158"/>
        <v>#DIV/0!</v>
      </c>
      <c r="AC510" s="729"/>
    </row>
    <row r="511" spans="1:29" ht="25.5" customHeight="1" thickTop="1" thickBot="1" x14ac:dyDescent="0.3">
      <c r="A511" s="425"/>
      <c r="B511" s="425"/>
      <c r="C511" s="505"/>
      <c r="D511" s="505"/>
      <c r="E511" s="505"/>
      <c r="F511" s="505"/>
      <c r="G511" s="505"/>
      <c r="H511" s="505"/>
      <c r="I511" s="505"/>
      <c r="J511" s="505"/>
      <c r="K511" s="1108" t="s">
        <v>2640</v>
      </c>
      <c r="L511" s="1110">
        <f>+'[6]EJECUCION DE INGRESOS A CORTE 3'!D28</f>
        <v>1872529196</v>
      </c>
      <c r="M511" s="1110"/>
      <c r="N511" s="1110"/>
      <c r="O511" s="1111">
        <f>+L511+M511-N511</f>
        <v>1872529196</v>
      </c>
      <c r="P511" s="1110"/>
      <c r="Q511" s="745"/>
      <c r="R511" s="1110"/>
      <c r="S511" s="1110"/>
      <c r="T511" s="1110"/>
      <c r="U511" s="1110"/>
      <c r="V511" s="1111">
        <f>+O511*W511</f>
        <v>1872529196</v>
      </c>
      <c r="W511" s="745">
        <v>1</v>
      </c>
      <c r="X511" s="1110"/>
      <c r="Y511" s="1110"/>
      <c r="Z511" s="1110">
        <v>1872529196</v>
      </c>
      <c r="AA511" s="1106">
        <f t="shared" si="159"/>
        <v>1872529196</v>
      </c>
      <c r="AB511" s="1113" t="e">
        <f t="shared" si="158"/>
        <v>#DIV/0!</v>
      </c>
      <c r="AC511" s="729"/>
    </row>
    <row r="512" spans="1:29" s="1085" customFormat="1" ht="22.5" hidden="1" customHeight="1" thickTop="1" thickBot="1" x14ac:dyDescent="0.3">
      <c r="A512" s="1079">
        <v>1</v>
      </c>
      <c r="B512" s="1079">
        <v>2</v>
      </c>
      <c r="C512" s="1080" t="s">
        <v>227</v>
      </c>
      <c r="D512" s="1080"/>
      <c r="E512" s="1080"/>
      <c r="F512" s="1080"/>
      <c r="G512" s="1080"/>
      <c r="H512" s="1080"/>
      <c r="I512" s="1080"/>
      <c r="J512" s="1080"/>
      <c r="K512" s="1081" t="s">
        <v>733</v>
      </c>
      <c r="L512" s="1082"/>
      <c r="M512" s="1082"/>
      <c r="N512" s="1082"/>
      <c r="O512" s="1082">
        <f>+L512+M512-N512</f>
        <v>0</v>
      </c>
      <c r="P512" s="1082"/>
      <c r="Q512" s="1082"/>
      <c r="R512" s="1082"/>
      <c r="S512" s="1082"/>
      <c r="T512" s="1082"/>
      <c r="U512" s="1082"/>
      <c r="V512" s="1082"/>
      <c r="W512" s="1082"/>
      <c r="X512" s="1082"/>
      <c r="Y512" s="1082"/>
      <c r="Z512" s="1082"/>
      <c r="AA512" s="1106">
        <f t="shared" si="159"/>
        <v>0</v>
      </c>
      <c r="AB512" s="1083" t="e">
        <f t="shared" si="158"/>
        <v>#DIV/0!</v>
      </c>
      <c r="AC512" s="1084"/>
    </row>
    <row r="513" spans="1:29" s="1078" customFormat="1" ht="27.75" hidden="1" customHeight="1" thickTop="1" thickBot="1" x14ac:dyDescent="0.3">
      <c r="A513" s="1151">
        <v>1</v>
      </c>
      <c r="B513" s="1151">
        <v>3</v>
      </c>
      <c r="C513" s="417"/>
      <c r="D513" s="417"/>
      <c r="E513" s="417"/>
      <c r="F513" s="417"/>
      <c r="G513" s="417"/>
      <c r="H513" s="417"/>
      <c r="I513" s="417"/>
      <c r="J513" s="417"/>
      <c r="K513" s="1074" t="s">
        <v>734</v>
      </c>
      <c r="L513" s="1075">
        <f>+L514+L518</f>
        <v>0</v>
      </c>
      <c r="M513" s="1075">
        <f t="shared" ref="M513:Z513" si="166">+M514+M518</f>
        <v>0</v>
      </c>
      <c r="N513" s="1075">
        <f t="shared" si="166"/>
        <v>0</v>
      </c>
      <c r="O513" s="1075">
        <f t="shared" si="166"/>
        <v>0</v>
      </c>
      <c r="P513" s="1075">
        <f t="shared" si="166"/>
        <v>0</v>
      </c>
      <c r="Q513" s="1075"/>
      <c r="R513" s="1075">
        <f t="shared" si="166"/>
        <v>0</v>
      </c>
      <c r="S513" s="1075"/>
      <c r="T513" s="1075">
        <f t="shared" si="166"/>
        <v>0</v>
      </c>
      <c r="U513" s="1075"/>
      <c r="V513" s="1075">
        <f t="shared" si="166"/>
        <v>0</v>
      </c>
      <c r="W513" s="1075"/>
      <c r="X513" s="1075">
        <f t="shared" si="166"/>
        <v>0</v>
      </c>
      <c r="Y513" s="1075">
        <f t="shared" si="166"/>
        <v>0</v>
      </c>
      <c r="Z513" s="1075">
        <f t="shared" si="166"/>
        <v>0</v>
      </c>
      <c r="AA513" s="1106">
        <f t="shared" si="159"/>
        <v>0</v>
      </c>
      <c r="AB513" s="1076" t="e">
        <f t="shared" si="158"/>
        <v>#DIV/0!</v>
      </c>
      <c r="AC513" s="1077"/>
    </row>
    <row r="514" spans="1:29" s="1085" customFormat="1" ht="33.75" hidden="1" customHeight="1" thickTop="1" thickBot="1" x14ac:dyDescent="0.3">
      <c r="A514" s="1079">
        <v>1</v>
      </c>
      <c r="B514" s="1079">
        <v>3</v>
      </c>
      <c r="C514" s="1080" t="s">
        <v>216</v>
      </c>
      <c r="D514" s="1080"/>
      <c r="E514" s="1080"/>
      <c r="F514" s="1080"/>
      <c r="G514" s="1080"/>
      <c r="H514" s="1080"/>
      <c r="I514" s="1080"/>
      <c r="J514" s="1080"/>
      <c r="K514" s="1081" t="s">
        <v>735</v>
      </c>
      <c r="L514" s="1082">
        <f>SUM(L515:L517)</f>
        <v>0</v>
      </c>
      <c r="M514" s="1082">
        <f t="shared" ref="M514:Z514" si="167">SUM(M515:M517)</f>
        <v>0</v>
      </c>
      <c r="N514" s="1082">
        <f t="shared" si="167"/>
        <v>0</v>
      </c>
      <c r="O514" s="1082">
        <f t="shared" si="167"/>
        <v>0</v>
      </c>
      <c r="P514" s="1082">
        <f t="shared" si="167"/>
        <v>0</v>
      </c>
      <c r="Q514" s="1082"/>
      <c r="R514" s="1082">
        <f t="shared" si="167"/>
        <v>0</v>
      </c>
      <c r="S514" s="1082"/>
      <c r="T514" s="1082">
        <f t="shared" si="167"/>
        <v>0</v>
      </c>
      <c r="U514" s="1082"/>
      <c r="V514" s="1082">
        <f t="shared" si="167"/>
        <v>0</v>
      </c>
      <c r="W514" s="1082"/>
      <c r="X514" s="1082">
        <f t="shared" si="167"/>
        <v>0</v>
      </c>
      <c r="Y514" s="1082">
        <f t="shared" si="167"/>
        <v>0</v>
      </c>
      <c r="Z514" s="1082">
        <f t="shared" si="167"/>
        <v>0</v>
      </c>
      <c r="AA514" s="1106">
        <f t="shared" si="159"/>
        <v>0</v>
      </c>
      <c r="AB514" s="1083" t="e">
        <f t="shared" si="158"/>
        <v>#DIV/0!</v>
      </c>
      <c r="AC514" s="1084"/>
    </row>
    <row r="515" spans="1:29" ht="22.5" hidden="1" customHeight="1" thickTop="1" thickBot="1" x14ac:dyDescent="0.3">
      <c r="A515" s="425">
        <v>1</v>
      </c>
      <c r="B515" s="425">
        <v>3</v>
      </c>
      <c r="C515" s="505" t="s">
        <v>216</v>
      </c>
      <c r="D515" s="505" t="s">
        <v>220</v>
      </c>
      <c r="E515" s="505"/>
      <c r="F515" s="505"/>
      <c r="G515" s="505"/>
      <c r="H515" s="505"/>
      <c r="I515" s="505"/>
      <c r="J515" s="505"/>
      <c r="K515" s="609" t="s">
        <v>736</v>
      </c>
      <c r="L515" s="1110"/>
      <c r="M515" s="1110"/>
      <c r="N515" s="1110"/>
      <c r="O515" s="1110">
        <f>+L515+M515-N515</f>
        <v>0</v>
      </c>
      <c r="P515" s="1110"/>
      <c r="Q515" s="1110"/>
      <c r="R515" s="1110"/>
      <c r="S515" s="1110"/>
      <c r="T515" s="1110"/>
      <c r="U515" s="1110"/>
      <c r="V515" s="1110"/>
      <c r="W515" s="1110"/>
      <c r="X515" s="1110"/>
      <c r="Y515" s="1110"/>
      <c r="Z515" s="1110"/>
      <c r="AA515" s="1106">
        <f t="shared" si="159"/>
        <v>0</v>
      </c>
      <c r="AB515" s="1113" t="e">
        <f t="shared" si="158"/>
        <v>#DIV/0!</v>
      </c>
      <c r="AC515" s="729"/>
    </row>
    <row r="516" spans="1:29" ht="22.5" hidden="1" customHeight="1" thickTop="1" thickBot="1" x14ac:dyDescent="0.3">
      <c r="A516" s="425">
        <v>1</v>
      </c>
      <c r="B516" s="425">
        <v>3</v>
      </c>
      <c r="C516" s="505" t="s">
        <v>216</v>
      </c>
      <c r="D516" s="505" t="s">
        <v>231</v>
      </c>
      <c r="E516" s="505"/>
      <c r="F516" s="505"/>
      <c r="G516" s="505"/>
      <c r="H516" s="505"/>
      <c r="I516" s="505"/>
      <c r="J516" s="505"/>
      <c r="K516" s="609" t="s">
        <v>737</v>
      </c>
      <c r="L516" s="1110"/>
      <c r="M516" s="1110"/>
      <c r="N516" s="1110"/>
      <c r="O516" s="1110">
        <f>+L516+M516-N516</f>
        <v>0</v>
      </c>
      <c r="P516" s="1110"/>
      <c r="Q516" s="1110"/>
      <c r="R516" s="1110"/>
      <c r="S516" s="1110"/>
      <c r="T516" s="1110"/>
      <c r="U516" s="1110"/>
      <c r="V516" s="1110"/>
      <c r="W516" s="1110"/>
      <c r="X516" s="1110"/>
      <c r="Y516" s="1110"/>
      <c r="Z516" s="1110"/>
      <c r="AA516" s="1106">
        <f t="shared" si="159"/>
        <v>0</v>
      </c>
      <c r="AB516" s="1113" t="e">
        <f t="shared" ref="AB516:AB526" si="168">+AA516/X516</f>
        <v>#DIV/0!</v>
      </c>
      <c r="AC516" s="729"/>
    </row>
    <row r="517" spans="1:29" ht="22.5" hidden="1" customHeight="1" thickTop="1" thickBot="1" x14ac:dyDescent="0.3">
      <c r="A517" s="425">
        <v>1</v>
      </c>
      <c r="B517" s="425">
        <v>3</v>
      </c>
      <c r="C517" s="505" t="s">
        <v>216</v>
      </c>
      <c r="D517" s="505" t="s">
        <v>305</v>
      </c>
      <c r="E517" s="505"/>
      <c r="F517" s="505"/>
      <c r="G517" s="505"/>
      <c r="H517" s="505"/>
      <c r="I517" s="505"/>
      <c r="J517" s="505"/>
      <c r="K517" s="609" t="s">
        <v>738</v>
      </c>
      <c r="L517" s="1110"/>
      <c r="M517" s="1110"/>
      <c r="N517" s="1110"/>
      <c r="O517" s="1110">
        <f>+L517+M517-N517</f>
        <v>0</v>
      </c>
      <c r="P517" s="1110"/>
      <c r="Q517" s="1110"/>
      <c r="R517" s="1110"/>
      <c r="S517" s="1110"/>
      <c r="T517" s="1110"/>
      <c r="U517" s="1110"/>
      <c r="V517" s="1110"/>
      <c r="W517" s="1110"/>
      <c r="X517" s="1110"/>
      <c r="Y517" s="1110"/>
      <c r="Z517" s="1110"/>
      <c r="AA517" s="1106">
        <f t="shared" si="159"/>
        <v>0</v>
      </c>
      <c r="AB517" s="1113" t="e">
        <f t="shared" si="168"/>
        <v>#DIV/0!</v>
      </c>
      <c r="AC517" s="729"/>
    </row>
    <row r="518" spans="1:29" s="1085" customFormat="1" ht="22.5" hidden="1" customHeight="1" thickTop="1" thickBot="1" x14ac:dyDescent="0.3">
      <c r="A518" s="1079">
        <v>1</v>
      </c>
      <c r="B518" s="1079">
        <v>3</v>
      </c>
      <c r="C518" s="1080" t="s">
        <v>227</v>
      </c>
      <c r="D518" s="1080"/>
      <c r="E518" s="1080"/>
      <c r="F518" s="1080"/>
      <c r="G518" s="1080"/>
      <c r="H518" s="1080"/>
      <c r="I518" s="1080"/>
      <c r="J518" s="1080"/>
      <c r="K518" s="1081" t="s">
        <v>739</v>
      </c>
      <c r="L518" s="1082"/>
      <c r="M518" s="1082">
        <f t="shared" ref="M518:Z520" si="169">+M519+M523+M524</f>
        <v>0</v>
      </c>
      <c r="N518" s="1082"/>
      <c r="O518" s="1082">
        <f>+L518+M518-N518</f>
        <v>0</v>
      </c>
      <c r="P518" s="1082"/>
      <c r="Q518" s="1082"/>
      <c r="R518" s="1082"/>
      <c r="S518" s="1082"/>
      <c r="T518" s="1082"/>
      <c r="U518" s="1082"/>
      <c r="V518" s="1082"/>
      <c r="W518" s="1082"/>
      <c r="X518" s="1082"/>
      <c r="Y518" s="1082"/>
      <c r="Z518" s="1082"/>
      <c r="AA518" s="1106">
        <f t="shared" si="159"/>
        <v>0</v>
      </c>
      <c r="AB518" s="1083" t="e">
        <f t="shared" si="168"/>
        <v>#DIV/0!</v>
      </c>
      <c r="AC518" s="1084"/>
    </row>
    <row r="519" spans="1:29" s="1078" customFormat="1" ht="49.5" customHeight="1" thickTop="1" thickBot="1" x14ac:dyDescent="0.3">
      <c r="A519" s="1151">
        <v>1</v>
      </c>
      <c r="B519" s="1151">
        <v>4</v>
      </c>
      <c r="C519" s="417"/>
      <c r="D519" s="417"/>
      <c r="E519" s="417"/>
      <c r="F519" s="417"/>
      <c r="G519" s="417"/>
      <c r="H519" s="417"/>
      <c r="I519" s="417"/>
      <c r="J519" s="417"/>
      <c r="K519" s="1149" t="s">
        <v>740</v>
      </c>
      <c r="L519" s="1075">
        <f>+'[6]EJECUCION DE INGRESOS A CORTE 3'!D29</f>
        <v>7000000000</v>
      </c>
      <c r="M519" s="1075"/>
      <c r="N519" s="1075"/>
      <c r="O519" s="1140">
        <f>+L519+M519-N519</f>
        <v>7000000000</v>
      </c>
      <c r="P519" s="1075"/>
      <c r="Q519" s="1075"/>
      <c r="R519" s="1140">
        <f>+O519*S519</f>
        <v>7000000000</v>
      </c>
      <c r="S519" s="737">
        <v>1</v>
      </c>
      <c r="T519" s="1075"/>
      <c r="U519" s="1075"/>
      <c r="V519" s="1075"/>
      <c r="W519" s="1075"/>
      <c r="X519" s="1075"/>
      <c r="Y519" s="1075"/>
      <c r="Z519" s="1075">
        <v>7000000000</v>
      </c>
      <c r="AA519" s="1106">
        <f t="shared" si="159"/>
        <v>7000000000</v>
      </c>
      <c r="AB519" s="1076" t="e">
        <f t="shared" si="168"/>
        <v>#DIV/0!</v>
      </c>
      <c r="AC519" s="1077"/>
    </row>
    <row r="520" spans="1:29" s="1078" customFormat="1" ht="22.5" hidden="1" customHeight="1" thickTop="1" thickBot="1" x14ac:dyDescent="0.3">
      <c r="A520" s="1151">
        <v>1</v>
      </c>
      <c r="B520" s="1151" t="s">
        <v>741</v>
      </c>
      <c r="C520" s="417"/>
      <c r="D520" s="417"/>
      <c r="E520" s="417"/>
      <c r="F520" s="417"/>
      <c r="G520" s="417"/>
      <c r="H520" s="417"/>
      <c r="I520" s="417"/>
      <c r="J520" s="417"/>
      <c r="K520" s="1074" t="s">
        <v>742</v>
      </c>
      <c r="L520" s="1075">
        <f>+L521+L525+L526</f>
        <v>0</v>
      </c>
      <c r="M520" s="1075">
        <f t="shared" si="169"/>
        <v>0</v>
      </c>
      <c r="N520" s="1075">
        <f t="shared" si="169"/>
        <v>0</v>
      </c>
      <c r="O520" s="1075">
        <f t="shared" si="169"/>
        <v>0</v>
      </c>
      <c r="P520" s="1075">
        <f t="shared" si="169"/>
        <v>0</v>
      </c>
      <c r="Q520" s="1075"/>
      <c r="R520" s="1075">
        <f t="shared" si="169"/>
        <v>0</v>
      </c>
      <c r="S520" s="1075"/>
      <c r="T520" s="1075">
        <f t="shared" si="169"/>
        <v>0</v>
      </c>
      <c r="U520" s="1075"/>
      <c r="V520" s="1075">
        <f t="shared" si="169"/>
        <v>0</v>
      </c>
      <c r="W520" s="1075"/>
      <c r="X520" s="1075">
        <f t="shared" si="169"/>
        <v>0</v>
      </c>
      <c r="Y520" s="1075">
        <f t="shared" si="169"/>
        <v>0</v>
      </c>
      <c r="Z520" s="1075">
        <f t="shared" si="169"/>
        <v>0</v>
      </c>
      <c r="AA520" s="1106">
        <f t="shared" si="159"/>
        <v>0</v>
      </c>
      <c r="AB520" s="1076" t="e">
        <f t="shared" si="168"/>
        <v>#DIV/0!</v>
      </c>
      <c r="AC520" s="1077"/>
    </row>
    <row r="521" spans="1:29" s="1085" customFormat="1" ht="22.5" hidden="1" customHeight="1" thickTop="1" thickBot="1" x14ac:dyDescent="0.3">
      <c r="A521" s="1079">
        <v>1</v>
      </c>
      <c r="B521" s="1079" t="s">
        <v>741</v>
      </c>
      <c r="C521" s="1080" t="s">
        <v>216</v>
      </c>
      <c r="D521" s="1080"/>
      <c r="E521" s="1080"/>
      <c r="F521" s="1080"/>
      <c r="G521" s="1080"/>
      <c r="H521" s="1080"/>
      <c r="I521" s="1080"/>
      <c r="J521" s="1080"/>
      <c r="K521" s="1081" t="s">
        <v>743</v>
      </c>
      <c r="L521" s="1082">
        <f>SUM(L522:L524)</f>
        <v>0</v>
      </c>
      <c r="M521" s="1082">
        <f t="shared" ref="M521:Z521" si="170">SUM(M522:M524)</f>
        <v>0</v>
      </c>
      <c r="N521" s="1082">
        <f t="shared" si="170"/>
        <v>0</v>
      </c>
      <c r="O521" s="1082">
        <f t="shared" si="170"/>
        <v>0</v>
      </c>
      <c r="P521" s="1082">
        <f t="shared" si="170"/>
        <v>0</v>
      </c>
      <c r="Q521" s="1082"/>
      <c r="R521" s="1082">
        <f t="shared" si="170"/>
        <v>0</v>
      </c>
      <c r="S521" s="1082"/>
      <c r="T521" s="1082">
        <f t="shared" si="170"/>
        <v>0</v>
      </c>
      <c r="U521" s="1082"/>
      <c r="V521" s="1082">
        <f t="shared" si="170"/>
        <v>0</v>
      </c>
      <c r="W521" s="1082"/>
      <c r="X521" s="1082">
        <f t="shared" si="170"/>
        <v>0</v>
      </c>
      <c r="Y521" s="1082">
        <f t="shared" si="170"/>
        <v>0</v>
      </c>
      <c r="Z521" s="1082">
        <f t="shared" si="170"/>
        <v>0</v>
      </c>
      <c r="AA521" s="1106">
        <f t="shared" si="159"/>
        <v>0</v>
      </c>
      <c r="AB521" s="1083" t="e">
        <f t="shared" si="168"/>
        <v>#DIV/0!</v>
      </c>
      <c r="AC521" s="1084"/>
    </row>
    <row r="522" spans="1:29" ht="22.5" hidden="1" customHeight="1" thickTop="1" thickBot="1" x14ac:dyDescent="0.3">
      <c r="A522" s="425">
        <v>1</v>
      </c>
      <c r="B522" s="505" t="s">
        <v>741</v>
      </c>
      <c r="C522" s="505" t="s">
        <v>216</v>
      </c>
      <c r="D522" s="505" t="s">
        <v>220</v>
      </c>
      <c r="E522" s="505"/>
      <c r="F522" s="505"/>
      <c r="G522" s="505"/>
      <c r="H522" s="505"/>
      <c r="I522" s="505"/>
      <c r="J522" s="505"/>
      <c r="K522" s="609" t="s">
        <v>744</v>
      </c>
      <c r="L522" s="1110"/>
      <c r="M522" s="1110"/>
      <c r="N522" s="1110"/>
      <c r="O522" s="1110">
        <f>+L522+M522-N522</f>
        <v>0</v>
      </c>
      <c r="P522" s="1110"/>
      <c r="Q522" s="1110"/>
      <c r="R522" s="1110"/>
      <c r="S522" s="1110"/>
      <c r="T522" s="1110"/>
      <c r="U522" s="1110"/>
      <c r="V522" s="1110"/>
      <c r="W522" s="1110"/>
      <c r="X522" s="1110"/>
      <c r="Y522" s="1110"/>
      <c r="Z522" s="1110"/>
      <c r="AA522" s="1106">
        <f t="shared" si="159"/>
        <v>0</v>
      </c>
      <c r="AB522" s="1113" t="e">
        <f t="shared" si="168"/>
        <v>#DIV/0!</v>
      </c>
      <c r="AC522" s="729"/>
    </row>
    <row r="523" spans="1:29" ht="22.5" hidden="1" customHeight="1" thickTop="1" thickBot="1" x14ac:dyDescent="0.3">
      <c r="A523" s="425">
        <v>1</v>
      </c>
      <c r="B523" s="505" t="s">
        <v>741</v>
      </c>
      <c r="C523" s="505" t="s">
        <v>216</v>
      </c>
      <c r="D523" s="505" t="s">
        <v>231</v>
      </c>
      <c r="E523" s="505"/>
      <c r="F523" s="505"/>
      <c r="G523" s="505"/>
      <c r="H523" s="505"/>
      <c r="I523" s="505"/>
      <c r="J523" s="505"/>
      <c r="K523" s="609" t="s">
        <v>745</v>
      </c>
      <c r="L523" s="1110"/>
      <c r="M523" s="1110"/>
      <c r="N523" s="1110"/>
      <c r="O523" s="1110">
        <f>+L523+M523-N523</f>
        <v>0</v>
      </c>
      <c r="P523" s="1110"/>
      <c r="Q523" s="1110"/>
      <c r="R523" s="1110"/>
      <c r="S523" s="1110"/>
      <c r="T523" s="1110"/>
      <c r="U523" s="1110"/>
      <c r="V523" s="1110"/>
      <c r="W523" s="1110"/>
      <c r="X523" s="1110"/>
      <c r="Y523" s="1110"/>
      <c r="Z523" s="1110"/>
      <c r="AA523" s="1106">
        <f t="shared" ref="AA523:AA526" si="171">+Y523+Z523</f>
        <v>0</v>
      </c>
      <c r="AB523" s="1113" t="e">
        <f t="shared" si="168"/>
        <v>#DIV/0!</v>
      </c>
      <c r="AC523" s="729"/>
    </row>
    <row r="524" spans="1:29" ht="22.5" hidden="1" customHeight="1" thickTop="1" thickBot="1" x14ac:dyDescent="0.3">
      <c r="A524" s="425">
        <v>1</v>
      </c>
      <c r="B524" s="505" t="s">
        <v>741</v>
      </c>
      <c r="C524" s="505" t="s">
        <v>216</v>
      </c>
      <c r="D524" s="505" t="s">
        <v>305</v>
      </c>
      <c r="E524" s="505"/>
      <c r="F524" s="505"/>
      <c r="G524" s="505"/>
      <c r="H524" s="505"/>
      <c r="I524" s="505"/>
      <c r="J524" s="505"/>
      <c r="K524" s="609" t="s">
        <v>746</v>
      </c>
      <c r="L524" s="1110"/>
      <c r="M524" s="1110"/>
      <c r="N524" s="1110"/>
      <c r="O524" s="1110">
        <f>+L524+M524-N524</f>
        <v>0</v>
      </c>
      <c r="P524" s="1110"/>
      <c r="Q524" s="1110"/>
      <c r="R524" s="1110"/>
      <c r="S524" s="1110"/>
      <c r="T524" s="1110"/>
      <c r="U524" s="1110"/>
      <c r="V524" s="1110"/>
      <c r="W524" s="1110"/>
      <c r="X524" s="1110"/>
      <c r="Y524" s="1110"/>
      <c r="Z524" s="1110"/>
      <c r="AA524" s="1106">
        <f t="shared" si="171"/>
        <v>0</v>
      </c>
      <c r="AB524" s="1113" t="e">
        <f t="shared" si="168"/>
        <v>#DIV/0!</v>
      </c>
      <c r="AC524" s="729"/>
    </row>
    <row r="525" spans="1:29" s="1085" customFormat="1" ht="22.5" hidden="1" customHeight="1" thickTop="1" thickBot="1" x14ac:dyDescent="0.3">
      <c r="A525" s="1079">
        <v>1</v>
      </c>
      <c r="B525" s="1079" t="s">
        <v>741</v>
      </c>
      <c r="C525" s="1080" t="s">
        <v>227</v>
      </c>
      <c r="D525" s="1080"/>
      <c r="E525" s="1080"/>
      <c r="F525" s="1080"/>
      <c r="G525" s="1080"/>
      <c r="H525" s="1080"/>
      <c r="I525" s="1080"/>
      <c r="J525" s="1080"/>
      <c r="K525" s="1081" t="s">
        <v>747</v>
      </c>
      <c r="L525" s="1082"/>
      <c r="M525" s="1082"/>
      <c r="N525" s="1082"/>
      <c r="O525" s="1082">
        <f>+L525+M525-N525</f>
        <v>0</v>
      </c>
      <c r="P525" s="1082"/>
      <c r="Q525" s="1082"/>
      <c r="R525" s="1082"/>
      <c r="S525" s="1082"/>
      <c r="T525" s="1082"/>
      <c r="U525" s="1082"/>
      <c r="V525" s="1082"/>
      <c r="W525" s="1082"/>
      <c r="X525" s="1082"/>
      <c r="Y525" s="1082"/>
      <c r="Z525" s="1082"/>
      <c r="AA525" s="1106">
        <f t="shared" si="171"/>
        <v>0</v>
      </c>
      <c r="AB525" s="1083" t="e">
        <f t="shared" si="168"/>
        <v>#DIV/0!</v>
      </c>
      <c r="AC525" s="1084"/>
    </row>
    <row r="526" spans="1:29" s="1085" customFormat="1" ht="22.5" hidden="1" customHeight="1" thickTop="1" thickBot="1" x14ac:dyDescent="0.3">
      <c r="A526" s="1079">
        <v>1</v>
      </c>
      <c r="B526" s="1079" t="s">
        <v>741</v>
      </c>
      <c r="C526" s="1080" t="s">
        <v>229</v>
      </c>
      <c r="D526" s="1080"/>
      <c r="E526" s="1080"/>
      <c r="F526" s="1080"/>
      <c r="G526" s="1080"/>
      <c r="H526" s="1080"/>
      <c r="I526" s="1080"/>
      <c r="J526" s="1080"/>
      <c r="K526" s="1081" t="s">
        <v>748</v>
      </c>
      <c r="L526" s="1082"/>
      <c r="M526" s="1082"/>
      <c r="N526" s="1082"/>
      <c r="O526" s="1082">
        <f>+L526+M526-N526</f>
        <v>0</v>
      </c>
      <c r="P526" s="1082"/>
      <c r="Q526" s="1082"/>
      <c r="R526" s="1082"/>
      <c r="S526" s="1082"/>
      <c r="T526" s="1082"/>
      <c r="U526" s="1082"/>
      <c r="V526" s="1082"/>
      <c r="W526" s="1082"/>
      <c r="X526" s="1082"/>
      <c r="Y526" s="1082"/>
      <c r="Z526" s="1082"/>
      <c r="AA526" s="1106">
        <f t="shared" si="171"/>
        <v>0</v>
      </c>
      <c r="AB526" s="1083" t="e">
        <f t="shared" si="168"/>
        <v>#DIV/0!</v>
      </c>
      <c r="AC526" s="1084"/>
    </row>
    <row r="527" spans="1:29" ht="22.5" customHeight="1" thickTop="1" x14ac:dyDescent="0.25">
      <c r="A527" s="526"/>
      <c r="B527" s="526"/>
      <c r="C527" s="527"/>
      <c r="D527" s="527"/>
      <c r="E527" s="527"/>
      <c r="F527" s="527"/>
      <c r="G527" s="527"/>
      <c r="H527" s="527"/>
      <c r="I527" s="527"/>
      <c r="J527" s="527"/>
      <c r="K527" s="1152"/>
      <c r="L527" s="1153"/>
      <c r="M527" s="1153"/>
      <c r="N527" s="1153"/>
      <c r="O527" s="1153"/>
      <c r="P527" s="1153"/>
      <c r="Q527" s="1153"/>
      <c r="R527" s="1153">
        <f>+R397+R529</f>
        <v>3678816425.5200071</v>
      </c>
      <c r="S527" s="1153"/>
      <c r="T527" s="1153"/>
      <c r="U527" s="1153"/>
      <c r="V527" s="1153"/>
      <c r="W527" s="1153"/>
      <c r="X527" s="1153"/>
      <c r="Y527" s="1153"/>
      <c r="Z527" s="1153"/>
      <c r="AA527" s="1153"/>
      <c r="AB527" s="1154"/>
      <c r="AC527" s="1155"/>
    </row>
    <row r="528" spans="1:29" ht="22.5" customHeight="1" x14ac:dyDescent="0.25">
      <c r="A528" s="526"/>
      <c r="B528" s="527"/>
      <c r="C528" s="527"/>
      <c r="D528" s="527"/>
      <c r="E528" s="527"/>
      <c r="F528" s="527"/>
      <c r="G528" s="527"/>
      <c r="H528" s="527"/>
      <c r="I528" s="527"/>
      <c r="J528" s="527"/>
      <c r="K528" s="1152" t="s">
        <v>2641</v>
      </c>
      <c r="L528" s="1153"/>
      <c r="M528" s="1153"/>
      <c r="N528" s="1153"/>
      <c r="O528" s="1153"/>
      <c r="P528" s="1153">
        <v>20207928436</v>
      </c>
      <c r="Q528" s="1153"/>
      <c r="R528" s="1153">
        <v>89585683410.960007</v>
      </c>
      <c r="S528" s="1153"/>
      <c r="T528" s="1153">
        <v>1010700000</v>
      </c>
      <c r="U528" s="1153"/>
      <c r="V528" s="1153">
        <v>3752548509</v>
      </c>
      <c r="W528" s="1153"/>
      <c r="X528" s="1153"/>
      <c r="Y528" s="1153"/>
      <c r="Z528" s="1153"/>
      <c r="AA528" s="1153"/>
      <c r="AB528" s="1154"/>
      <c r="AC528" s="1155"/>
    </row>
    <row r="529" spans="1:29" ht="22.5" customHeight="1" x14ac:dyDescent="0.25">
      <c r="A529" s="526"/>
      <c r="B529" s="526"/>
      <c r="C529" s="527"/>
      <c r="D529" s="527"/>
      <c r="E529" s="527"/>
      <c r="F529" s="527"/>
      <c r="G529" s="527"/>
      <c r="H529" s="527"/>
      <c r="I529" s="527"/>
      <c r="J529" s="527"/>
      <c r="K529" s="1152"/>
      <c r="L529" s="1153"/>
      <c r="M529" s="1153"/>
      <c r="N529" s="1153"/>
      <c r="O529" s="1153"/>
      <c r="P529" s="1153">
        <f>+P528-P7</f>
        <v>220000000</v>
      </c>
      <c r="Q529" s="1153"/>
      <c r="R529" s="1153">
        <f>+R528-R7</f>
        <v>-220000000</v>
      </c>
      <c r="S529" s="1153"/>
      <c r="T529" s="1153">
        <f>+T528-T7</f>
        <v>-3.99932861328125E-2</v>
      </c>
      <c r="U529" s="1153"/>
      <c r="V529" s="1153">
        <f>+V528-V7</f>
        <v>0</v>
      </c>
      <c r="W529" s="1153"/>
      <c r="X529" s="1153"/>
      <c r="Y529" s="1153"/>
      <c r="Z529" s="1153"/>
      <c r="AA529" s="1153"/>
      <c r="AB529" s="1154"/>
      <c r="AC529" s="1155"/>
    </row>
    <row r="530" spans="1:29" ht="22.5" customHeight="1" x14ac:dyDescent="0.25">
      <c r="A530" s="526"/>
      <c r="B530" s="526"/>
      <c r="C530" s="527"/>
      <c r="D530" s="527"/>
      <c r="E530" s="527"/>
      <c r="F530" s="527"/>
      <c r="G530" s="527"/>
      <c r="H530" s="527"/>
      <c r="I530" s="527"/>
      <c r="J530" s="527"/>
      <c r="K530" s="1152"/>
      <c r="L530" s="1153"/>
      <c r="M530" s="1153"/>
      <c r="N530" s="1153"/>
      <c r="O530" s="1153"/>
      <c r="P530" s="1153"/>
      <c r="Q530" s="1153"/>
      <c r="R530" s="1153"/>
      <c r="S530" s="1153"/>
      <c r="T530" s="1153"/>
      <c r="U530" s="1153"/>
      <c r="V530" s="1153"/>
      <c r="W530" s="1153"/>
      <c r="X530" s="1153"/>
      <c r="Y530" s="1153"/>
      <c r="Z530" s="1153"/>
      <c r="AA530" s="1153"/>
      <c r="AB530" s="1154"/>
      <c r="AC530" s="1155"/>
    </row>
    <row r="531" spans="1:29" ht="22.5" customHeight="1" x14ac:dyDescent="0.25">
      <c r="A531" s="526"/>
      <c r="B531" s="527"/>
      <c r="C531" s="527"/>
      <c r="D531" s="527"/>
      <c r="E531" s="527"/>
      <c r="F531" s="527"/>
      <c r="G531" s="527"/>
      <c r="H531" s="527"/>
      <c r="I531" s="527"/>
      <c r="J531" s="527"/>
      <c r="K531" s="1152"/>
      <c r="L531" s="1153"/>
      <c r="M531" s="1153"/>
      <c r="N531" s="1153"/>
      <c r="O531" s="1153"/>
      <c r="P531" s="1153"/>
      <c r="Q531" s="1153"/>
      <c r="R531" s="1153"/>
      <c r="S531" s="1153"/>
      <c r="T531" s="1153"/>
      <c r="U531" s="1153"/>
      <c r="V531" s="1153"/>
      <c r="W531" s="1153"/>
      <c r="X531" s="1153"/>
      <c r="Y531" s="1153"/>
      <c r="Z531" s="1153"/>
      <c r="AA531" s="1153"/>
      <c r="AB531" s="1154"/>
      <c r="AC531" s="1155"/>
    </row>
    <row r="532" spans="1:29" ht="22.5" customHeight="1" x14ac:dyDescent="0.25">
      <c r="A532" s="526"/>
      <c r="B532" s="526"/>
      <c r="C532" s="527"/>
      <c r="D532" s="527"/>
      <c r="E532" s="527"/>
      <c r="F532" s="527"/>
      <c r="G532" s="527"/>
      <c r="H532" s="527"/>
      <c r="I532" s="527"/>
      <c r="J532" s="527"/>
      <c r="K532" s="1152"/>
      <c r="L532" s="1153"/>
      <c r="M532" s="1153"/>
      <c r="N532" s="1153"/>
      <c r="O532" s="1153"/>
      <c r="P532" s="1153"/>
      <c r="Q532" s="1153"/>
      <c r="R532" s="1153"/>
      <c r="S532" s="1153"/>
      <c r="T532" s="1153"/>
      <c r="U532" s="1153"/>
      <c r="V532" s="1153"/>
      <c r="W532" s="1153"/>
      <c r="X532" s="1153"/>
      <c r="Y532" s="1153"/>
      <c r="Z532" s="1153"/>
      <c r="AA532" s="1153"/>
      <c r="AB532" s="1154"/>
      <c r="AC532" s="1155"/>
    </row>
    <row r="533" spans="1:29" ht="22.5" customHeight="1" x14ac:dyDescent="0.25">
      <c r="A533" s="526"/>
      <c r="B533" s="527"/>
      <c r="C533" s="527"/>
      <c r="D533" s="527"/>
      <c r="E533" s="527"/>
      <c r="F533" s="527"/>
      <c r="G533" s="527"/>
      <c r="H533" s="527"/>
      <c r="I533" s="527"/>
      <c r="J533" s="527"/>
      <c r="K533" s="1152"/>
      <c r="L533" s="1153"/>
      <c r="M533" s="1153"/>
      <c r="N533" s="1153"/>
      <c r="O533" s="1153"/>
      <c r="P533" s="1153"/>
      <c r="Q533" s="1153"/>
      <c r="R533" s="1153"/>
      <c r="S533" s="1153"/>
      <c r="T533" s="1153"/>
      <c r="U533" s="1153"/>
      <c r="V533" s="1153"/>
      <c r="W533" s="1153"/>
      <c r="X533" s="1153"/>
      <c r="Y533" s="1153"/>
      <c r="Z533" s="1153"/>
      <c r="AA533" s="1153"/>
      <c r="AB533" s="1154"/>
      <c r="AC533" s="1155"/>
    </row>
    <row r="534" spans="1:29" ht="22.5" customHeight="1" x14ac:dyDescent="0.25">
      <c r="A534" s="526"/>
      <c r="B534" s="526"/>
      <c r="C534" s="527"/>
      <c r="D534" s="527"/>
      <c r="E534" s="527"/>
      <c r="F534" s="527"/>
      <c r="G534" s="527"/>
      <c r="H534" s="527"/>
      <c r="I534" s="527"/>
      <c r="J534" s="527"/>
      <c r="K534" s="1152"/>
      <c r="L534" s="1153"/>
      <c r="M534" s="1153"/>
      <c r="N534" s="1153"/>
      <c r="O534" s="1153"/>
      <c r="P534" s="1153"/>
      <c r="Q534" s="1153"/>
      <c r="R534" s="1153"/>
      <c r="S534" s="1153"/>
      <c r="T534" s="1153"/>
      <c r="U534" s="1153"/>
      <c r="V534" s="1153"/>
      <c r="W534" s="1153"/>
      <c r="X534" s="1153"/>
      <c r="Y534" s="1153"/>
      <c r="Z534" s="1153"/>
      <c r="AA534" s="1153"/>
      <c r="AB534" s="1154"/>
      <c r="AC534" s="1155"/>
    </row>
    <row r="535" spans="1:29" ht="22.5" customHeight="1" x14ac:dyDescent="0.25">
      <c r="A535" s="526"/>
      <c r="B535" s="527"/>
      <c r="C535" s="527"/>
      <c r="D535" s="527"/>
      <c r="E535" s="527"/>
      <c r="F535" s="527"/>
      <c r="G535" s="527"/>
      <c r="H535" s="527"/>
      <c r="I535" s="527"/>
      <c r="J535" s="527"/>
      <c r="K535" s="1152"/>
      <c r="L535" s="1153"/>
      <c r="M535" s="1153"/>
      <c r="N535" s="1153"/>
      <c r="O535" s="1153"/>
      <c r="P535" s="1153"/>
      <c r="Q535" s="1153"/>
      <c r="R535" s="1153"/>
      <c r="S535" s="1153"/>
      <c r="T535" s="1153"/>
      <c r="U535" s="1153"/>
      <c r="V535" s="1153"/>
      <c r="W535" s="1153"/>
      <c r="X535" s="1153"/>
      <c r="Y535" s="1153"/>
      <c r="Z535" s="1153"/>
      <c r="AA535" s="1153"/>
      <c r="AB535" s="1154"/>
      <c r="AC535" s="1155"/>
    </row>
    <row r="536" spans="1:29" ht="22.5" customHeight="1" x14ac:dyDescent="0.25">
      <c r="A536" s="526"/>
      <c r="B536" s="526"/>
      <c r="C536" s="527"/>
      <c r="D536" s="527"/>
      <c r="E536" s="527"/>
      <c r="F536" s="527"/>
      <c r="G536" s="527"/>
      <c r="H536" s="527"/>
      <c r="I536" s="527"/>
      <c r="J536" s="527"/>
      <c r="K536" s="1152"/>
      <c r="L536" s="1153"/>
      <c r="M536" s="1153"/>
      <c r="N536" s="1153"/>
      <c r="O536" s="1153"/>
      <c r="P536" s="1153"/>
      <c r="Q536" s="1153"/>
      <c r="R536" s="1153"/>
      <c r="S536" s="1153"/>
      <c r="T536" s="1153"/>
      <c r="U536" s="1153"/>
      <c r="V536" s="1153"/>
      <c r="W536" s="1153"/>
      <c r="X536" s="1153"/>
      <c r="Y536" s="1153"/>
      <c r="Z536" s="1153"/>
      <c r="AA536" s="1153"/>
      <c r="AB536" s="1154"/>
      <c r="AC536" s="1155"/>
    </row>
    <row r="537" spans="1:29" ht="22.5" customHeight="1" x14ac:dyDescent="0.25">
      <c r="A537" s="526"/>
      <c r="B537" s="527"/>
      <c r="C537" s="527"/>
      <c r="D537" s="527"/>
      <c r="E537" s="527"/>
      <c r="F537" s="527"/>
      <c r="G537" s="527"/>
      <c r="H537" s="527"/>
      <c r="I537" s="527"/>
      <c r="J537" s="527"/>
      <c r="K537" s="1152"/>
      <c r="L537" s="1153"/>
      <c r="M537" s="1153"/>
      <c r="N537" s="1153"/>
      <c r="O537" s="1153"/>
      <c r="P537" s="1153"/>
      <c r="Q537" s="1153"/>
      <c r="R537" s="1153"/>
      <c r="S537" s="1153"/>
      <c r="T537" s="1153"/>
      <c r="U537" s="1153"/>
      <c r="V537" s="1153"/>
      <c r="W537" s="1153"/>
      <c r="X537" s="1153"/>
      <c r="Y537" s="1153"/>
      <c r="Z537" s="1153"/>
      <c r="AA537" s="1153"/>
      <c r="AB537" s="1154"/>
      <c r="AC537" s="1155"/>
    </row>
    <row r="538" spans="1:29" ht="22.5" customHeight="1" x14ac:dyDescent="0.25">
      <c r="A538" s="526"/>
      <c r="B538" s="526"/>
      <c r="C538" s="527"/>
      <c r="D538" s="527"/>
      <c r="E538" s="527"/>
      <c r="F538" s="527"/>
      <c r="G538" s="527"/>
      <c r="H538" s="527"/>
      <c r="I538" s="527"/>
      <c r="J538" s="527"/>
      <c r="K538" s="1152"/>
      <c r="L538" s="1153"/>
      <c r="M538" s="1153"/>
      <c r="N538" s="1153"/>
      <c r="O538" s="1153"/>
      <c r="P538" s="1153"/>
      <c r="Q538" s="1153"/>
      <c r="R538" s="1153"/>
      <c r="S538" s="1153"/>
      <c r="T538" s="1153"/>
      <c r="U538" s="1153"/>
      <c r="V538" s="1153"/>
      <c r="W538" s="1153"/>
      <c r="X538" s="1153"/>
      <c r="Y538" s="1153"/>
      <c r="Z538" s="1153"/>
      <c r="AA538" s="1153"/>
      <c r="AB538" s="1154"/>
      <c r="AC538" s="1155"/>
    </row>
    <row r="539" spans="1:29" ht="22.5" customHeight="1" x14ac:dyDescent="0.25">
      <c r="A539" s="526"/>
      <c r="B539" s="527"/>
      <c r="C539" s="527"/>
      <c r="D539" s="527"/>
      <c r="E539" s="527"/>
      <c r="F539" s="527"/>
      <c r="G539" s="527"/>
      <c r="H539" s="527"/>
      <c r="I539" s="527"/>
      <c r="J539" s="527"/>
      <c r="K539" s="1152"/>
      <c r="L539" s="1153"/>
      <c r="M539" s="1153"/>
      <c r="N539" s="1153"/>
      <c r="O539" s="1153"/>
      <c r="P539" s="1153"/>
      <c r="Q539" s="1153"/>
      <c r="R539" s="1153"/>
      <c r="S539" s="1153"/>
      <c r="T539" s="1153"/>
      <c r="U539" s="1153"/>
      <c r="V539" s="1153"/>
      <c r="W539" s="1153"/>
      <c r="X539" s="1153"/>
      <c r="Y539" s="1153"/>
      <c r="Z539" s="1153"/>
      <c r="AA539" s="1153"/>
      <c r="AB539" s="1154"/>
      <c r="AC539" s="1155"/>
    </row>
    <row r="540" spans="1:29" ht="22.5" customHeight="1" x14ac:dyDescent="0.25">
      <c r="A540" s="526"/>
      <c r="B540" s="526"/>
      <c r="C540" s="527"/>
      <c r="D540" s="527"/>
      <c r="E540" s="527"/>
      <c r="F540" s="527"/>
      <c r="G540" s="527"/>
      <c r="H540" s="527"/>
      <c r="I540" s="527"/>
      <c r="J540" s="527"/>
      <c r="K540" s="1152"/>
      <c r="L540" s="1153"/>
      <c r="M540" s="1153"/>
      <c r="N540" s="1153"/>
      <c r="O540" s="1153"/>
      <c r="P540" s="1153"/>
      <c r="Q540" s="1153"/>
      <c r="R540" s="1153"/>
      <c r="S540" s="1153"/>
      <c r="T540" s="1153"/>
      <c r="U540" s="1153"/>
      <c r="V540" s="1153"/>
      <c r="W540" s="1153"/>
      <c r="X540" s="1153"/>
      <c r="Y540" s="1153"/>
      <c r="Z540" s="1153"/>
      <c r="AA540" s="1153"/>
      <c r="AB540" s="1154"/>
      <c r="AC540" s="1155"/>
    </row>
    <row r="541" spans="1:29" ht="22.5" customHeight="1" x14ac:dyDescent="0.25">
      <c r="A541" s="526"/>
      <c r="B541" s="527"/>
      <c r="C541" s="527"/>
      <c r="D541" s="527"/>
      <c r="E541" s="527"/>
      <c r="F541" s="527"/>
      <c r="G541" s="527"/>
      <c r="H541" s="527"/>
      <c r="I541" s="527"/>
      <c r="J541" s="527"/>
      <c r="K541" s="1152"/>
      <c r="L541" s="1153"/>
      <c r="M541" s="1153"/>
      <c r="N541" s="1153"/>
      <c r="O541" s="1153"/>
      <c r="P541" s="1153"/>
      <c r="Q541" s="1153"/>
      <c r="R541" s="1153"/>
      <c r="S541" s="1153"/>
      <c r="T541" s="1153"/>
      <c r="U541" s="1153"/>
      <c r="V541" s="1153"/>
      <c r="W541" s="1153"/>
      <c r="X541" s="1153"/>
      <c r="Y541" s="1153"/>
      <c r="Z541" s="1153"/>
      <c r="AA541" s="1153"/>
      <c r="AB541" s="1154"/>
      <c r="AC541" s="1155"/>
    </row>
    <row r="542" spans="1:29" ht="22.5" customHeight="1" x14ac:dyDescent="0.25">
      <c r="A542" s="526"/>
      <c r="B542" s="527"/>
      <c r="C542" s="527"/>
      <c r="D542" s="527"/>
      <c r="E542" s="527"/>
      <c r="F542" s="527"/>
      <c r="G542" s="527"/>
      <c r="H542" s="527"/>
      <c r="I542" s="527"/>
      <c r="J542" s="527"/>
      <c r="K542" s="1152"/>
      <c r="L542" s="1153"/>
      <c r="M542" s="1153"/>
      <c r="N542" s="1153"/>
      <c r="O542" s="1153"/>
      <c r="P542" s="1153"/>
      <c r="Q542" s="1153"/>
      <c r="R542" s="1153"/>
      <c r="S542" s="1153"/>
      <c r="T542" s="1153"/>
      <c r="U542" s="1153"/>
      <c r="V542" s="1153"/>
      <c r="W542" s="1153"/>
      <c r="X542" s="1153"/>
      <c r="Y542" s="1153"/>
      <c r="Z542" s="1153"/>
      <c r="AA542" s="1153"/>
      <c r="AB542" s="1154"/>
      <c r="AC542" s="1155"/>
    </row>
    <row r="543" spans="1:29" ht="22.5" customHeight="1" x14ac:dyDescent="0.25">
      <c r="A543" s="526"/>
      <c r="B543" s="527"/>
      <c r="C543" s="527"/>
      <c r="D543" s="527"/>
      <c r="E543" s="527"/>
      <c r="F543" s="527"/>
      <c r="G543" s="527"/>
      <c r="H543" s="527"/>
      <c r="I543" s="527"/>
      <c r="J543" s="527"/>
      <c r="K543" s="1152"/>
      <c r="L543" s="1153"/>
      <c r="M543" s="1153"/>
      <c r="N543" s="1153"/>
      <c r="O543" s="1153"/>
      <c r="P543" s="1153"/>
      <c r="Q543" s="1153"/>
      <c r="R543" s="1153"/>
      <c r="S543" s="1153"/>
      <c r="T543" s="1153"/>
      <c r="U543" s="1153"/>
      <c r="V543" s="1153"/>
      <c r="W543" s="1153"/>
      <c r="X543" s="1153"/>
      <c r="Y543" s="1153"/>
      <c r="Z543" s="1153"/>
      <c r="AA543" s="1153"/>
      <c r="AB543" s="1154"/>
      <c r="AC543" s="1155"/>
    </row>
    <row r="544" spans="1:29" ht="22.5" customHeight="1" x14ac:dyDescent="0.25">
      <c r="A544" s="526"/>
      <c r="B544" s="527"/>
      <c r="C544" s="527"/>
      <c r="D544" s="527"/>
      <c r="E544" s="527"/>
      <c r="F544" s="527"/>
      <c r="G544" s="527"/>
      <c r="H544" s="527"/>
      <c r="I544" s="527"/>
      <c r="J544" s="527"/>
      <c r="K544" s="1152"/>
      <c r="L544" s="1153"/>
      <c r="M544" s="1153"/>
      <c r="N544" s="1153"/>
      <c r="O544" s="1153"/>
      <c r="P544" s="1153"/>
      <c r="Q544" s="1153"/>
      <c r="R544" s="1153"/>
      <c r="S544" s="1153"/>
      <c r="T544" s="1153"/>
      <c r="U544" s="1153"/>
      <c r="V544" s="1153"/>
      <c r="W544" s="1153"/>
      <c r="X544" s="1153"/>
      <c r="Y544" s="1153"/>
      <c r="Z544" s="1153"/>
      <c r="AA544" s="1153"/>
      <c r="AB544" s="1154"/>
      <c r="AC544" s="1155"/>
    </row>
    <row r="545" spans="1:29" ht="22.5" customHeight="1" x14ac:dyDescent="0.25">
      <c r="A545" s="526"/>
      <c r="B545" s="527"/>
      <c r="C545" s="527"/>
      <c r="D545" s="527"/>
      <c r="E545" s="527"/>
      <c r="F545" s="527"/>
      <c r="G545" s="527"/>
      <c r="H545" s="527"/>
      <c r="I545" s="527"/>
      <c r="J545" s="527"/>
      <c r="K545" s="1152"/>
      <c r="L545" s="1153"/>
      <c r="M545" s="1153"/>
      <c r="N545" s="1153"/>
      <c r="O545" s="1153"/>
      <c r="P545" s="1153"/>
      <c r="Q545" s="1153"/>
      <c r="R545" s="1153"/>
      <c r="S545" s="1153"/>
      <c r="T545" s="1153"/>
      <c r="U545" s="1153"/>
      <c r="V545" s="1153"/>
      <c r="W545" s="1153"/>
      <c r="X545" s="1153"/>
      <c r="Y545" s="1153"/>
      <c r="Z545" s="1153"/>
      <c r="AA545" s="1153"/>
      <c r="AB545" s="1154"/>
      <c r="AC545" s="1155"/>
    </row>
    <row r="546" spans="1:29" ht="22.5" customHeight="1" x14ac:dyDescent="0.25">
      <c r="A546" s="526"/>
      <c r="B546" s="527"/>
      <c r="C546" s="527"/>
      <c r="D546" s="527"/>
      <c r="E546" s="527"/>
      <c r="F546" s="527"/>
      <c r="G546" s="527"/>
      <c r="H546" s="527"/>
      <c r="I546" s="527"/>
      <c r="J546" s="527"/>
      <c r="K546" s="1152"/>
      <c r="L546" s="1153"/>
      <c r="M546" s="1153"/>
      <c r="N546" s="1153"/>
      <c r="O546" s="1153"/>
      <c r="P546" s="1153"/>
      <c r="Q546" s="1153"/>
      <c r="R546" s="1153"/>
      <c r="S546" s="1153"/>
      <c r="T546" s="1153"/>
      <c r="U546" s="1153"/>
      <c r="V546" s="1153"/>
      <c r="W546" s="1153"/>
      <c r="X546" s="1153"/>
      <c r="Y546" s="1153"/>
      <c r="Z546" s="1153"/>
      <c r="AA546" s="1153"/>
      <c r="AB546" s="1154"/>
      <c r="AC546" s="1155"/>
    </row>
    <row r="547" spans="1:29" ht="22.5" customHeight="1" x14ac:dyDescent="0.25">
      <c r="A547" s="526"/>
      <c r="B547" s="527"/>
      <c r="C547" s="527"/>
      <c r="D547" s="527"/>
      <c r="E547" s="527"/>
      <c r="F547" s="527"/>
      <c r="G547" s="527"/>
      <c r="H547" s="527"/>
      <c r="I547" s="527"/>
      <c r="J547" s="527"/>
      <c r="K547" s="1152"/>
      <c r="L547" s="1153"/>
      <c r="M547" s="1153"/>
      <c r="N547" s="1153"/>
      <c r="O547" s="1153"/>
      <c r="P547" s="1153"/>
      <c r="Q547" s="1153"/>
      <c r="R547" s="1153"/>
      <c r="S547" s="1153"/>
      <c r="T547" s="1153"/>
      <c r="U547" s="1153"/>
      <c r="V547" s="1153"/>
      <c r="W547" s="1153"/>
      <c r="X547" s="1153"/>
      <c r="Y547" s="1153"/>
      <c r="Z547" s="1153"/>
      <c r="AA547" s="1153"/>
      <c r="AB547" s="1154"/>
      <c r="AC547" s="1155"/>
    </row>
    <row r="548" spans="1:29" ht="22.5" customHeight="1" x14ac:dyDescent="0.25">
      <c r="A548" s="526"/>
      <c r="B548" s="527"/>
      <c r="C548" s="527"/>
      <c r="D548" s="527"/>
      <c r="E548" s="527"/>
      <c r="F548" s="527"/>
      <c r="G548" s="527"/>
      <c r="H548" s="527"/>
      <c r="I548" s="527"/>
      <c r="J548" s="527"/>
      <c r="K548" s="1152"/>
      <c r="L548" s="1153"/>
      <c r="M548" s="1153"/>
      <c r="N548" s="1153"/>
      <c r="O548" s="1153"/>
      <c r="P548" s="1153"/>
      <c r="Q548" s="1153"/>
      <c r="R548" s="1153"/>
      <c r="S548" s="1153"/>
      <c r="T548" s="1153"/>
      <c r="U548" s="1153"/>
      <c r="V548" s="1153"/>
      <c r="W548" s="1153"/>
      <c r="X548" s="1153"/>
      <c r="Y548" s="1153"/>
      <c r="Z548" s="1153"/>
      <c r="AA548" s="1153"/>
      <c r="AB548" s="1154"/>
      <c r="AC548" s="1155"/>
    </row>
    <row r="549" spans="1:29" ht="22.5" customHeight="1" x14ac:dyDescent="0.25">
      <c r="A549" s="526"/>
      <c r="B549" s="527"/>
      <c r="C549" s="527"/>
      <c r="D549" s="527"/>
      <c r="E549" s="527"/>
      <c r="F549" s="527"/>
      <c r="G549" s="527"/>
      <c r="H549" s="527"/>
      <c r="I549" s="527"/>
      <c r="J549" s="527"/>
      <c r="K549" s="1152"/>
      <c r="L549" s="1153"/>
      <c r="M549" s="1153"/>
      <c r="N549" s="1153"/>
      <c r="O549" s="1153"/>
      <c r="P549" s="1153"/>
      <c r="Q549" s="1153"/>
      <c r="R549" s="1153"/>
      <c r="S549" s="1153"/>
      <c r="T549" s="1153"/>
      <c r="U549" s="1153"/>
      <c r="V549" s="1153"/>
      <c r="W549" s="1153"/>
      <c r="X549" s="1153"/>
      <c r="Y549" s="1153"/>
      <c r="Z549" s="1153"/>
      <c r="AA549" s="1153"/>
      <c r="AB549" s="1154"/>
      <c r="AC549" s="1155"/>
    </row>
    <row r="550" spans="1:29" ht="22.5" customHeight="1" x14ac:dyDescent="0.25">
      <c r="A550" s="526"/>
      <c r="B550" s="527"/>
      <c r="C550" s="527"/>
      <c r="D550" s="527"/>
      <c r="E550" s="527"/>
      <c r="F550" s="527"/>
      <c r="G550" s="527"/>
      <c r="H550" s="527"/>
      <c r="I550" s="527"/>
      <c r="J550" s="527"/>
      <c r="K550" s="1152"/>
      <c r="L550" s="1153"/>
      <c r="M550" s="1153"/>
      <c r="N550" s="1153"/>
      <c r="O550" s="1153"/>
      <c r="P550" s="1153"/>
      <c r="Q550" s="1153"/>
      <c r="R550" s="1153"/>
      <c r="S550" s="1153"/>
      <c r="T550" s="1153"/>
      <c r="U550" s="1153"/>
      <c r="V550" s="1153"/>
      <c r="W550" s="1153"/>
      <c r="X550" s="1153"/>
      <c r="Y550" s="1153"/>
      <c r="Z550" s="1153"/>
      <c r="AA550" s="1153"/>
      <c r="AB550" s="1154"/>
      <c r="AC550" s="1155"/>
    </row>
    <row r="551" spans="1:29" ht="22.5" customHeight="1" x14ac:dyDescent="0.25">
      <c r="A551" s="526"/>
      <c r="B551" s="527"/>
      <c r="C551" s="527"/>
      <c r="D551" s="527"/>
      <c r="E551" s="527"/>
      <c r="F551" s="527"/>
      <c r="G551" s="527"/>
      <c r="H551" s="527"/>
      <c r="I551" s="527"/>
      <c r="J551" s="527"/>
      <c r="K551" s="1152"/>
      <c r="L551" s="1153"/>
      <c r="M551" s="1153"/>
      <c r="N551" s="1153"/>
      <c r="O551" s="1153"/>
      <c r="P551" s="1153"/>
      <c r="Q551" s="1153"/>
      <c r="R551" s="1153"/>
      <c r="S551" s="1153"/>
      <c r="T551" s="1153"/>
      <c r="U551" s="1153"/>
      <c r="V551" s="1153"/>
      <c r="W551" s="1153"/>
      <c r="X551" s="1153"/>
      <c r="Y551" s="1153"/>
      <c r="Z551" s="1153"/>
      <c r="AA551" s="1153"/>
      <c r="AB551" s="1154"/>
      <c r="AC551" s="1155"/>
    </row>
    <row r="552" spans="1:29" ht="22.5" customHeight="1" x14ac:dyDescent="0.25">
      <c r="A552" s="526"/>
      <c r="B552" s="527"/>
      <c r="C552" s="527"/>
      <c r="D552" s="527"/>
      <c r="E552" s="527"/>
      <c r="F552" s="527"/>
      <c r="G552" s="527"/>
      <c r="H552" s="527"/>
      <c r="I552" s="527"/>
      <c r="J552" s="527"/>
      <c r="K552" s="1152"/>
      <c r="L552" s="1153"/>
      <c r="M552" s="1153"/>
      <c r="N552" s="1153"/>
      <c r="O552" s="1153"/>
      <c r="P552" s="1153"/>
      <c r="Q552" s="1153"/>
      <c r="R552" s="1153"/>
      <c r="S552" s="1153"/>
      <c r="T552" s="1153"/>
      <c r="U552" s="1153"/>
      <c r="V552" s="1153"/>
      <c r="W552" s="1153"/>
      <c r="X552" s="1153"/>
      <c r="Y552" s="1153"/>
      <c r="Z552" s="1153"/>
      <c r="AA552" s="1153"/>
      <c r="AB552" s="1154"/>
      <c r="AC552" s="1155"/>
    </row>
    <row r="553" spans="1:29" ht="22.5" customHeight="1" x14ac:dyDescent="0.25">
      <c r="A553" s="526"/>
      <c r="B553" s="527"/>
      <c r="C553" s="527"/>
      <c r="D553" s="527"/>
      <c r="E553" s="527"/>
      <c r="F553" s="527"/>
      <c r="G553" s="527"/>
      <c r="H553" s="527"/>
      <c r="I553" s="527"/>
      <c r="J553" s="527"/>
      <c r="K553" s="1152"/>
      <c r="L553" s="1153"/>
      <c r="M553" s="1153"/>
      <c r="N553" s="1153"/>
      <c r="O553" s="1153"/>
      <c r="P553" s="1153"/>
      <c r="Q553" s="1153"/>
      <c r="R553" s="1153"/>
      <c r="S553" s="1153"/>
      <c r="T553" s="1153"/>
      <c r="U553" s="1153"/>
      <c r="V553" s="1153"/>
      <c r="W553" s="1153"/>
      <c r="X553" s="1153"/>
      <c r="Y553" s="1153"/>
      <c r="Z553" s="1153"/>
      <c r="AA553" s="1153"/>
      <c r="AB553" s="1154"/>
      <c r="AC553" s="1155"/>
    </row>
    <row r="554" spans="1:29" ht="22.5" customHeight="1" x14ac:dyDescent="0.25">
      <c r="A554" s="526"/>
      <c r="B554" s="527"/>
      <c r="C554" s="527"/>
      <c r="D554" s="527"/>
      <c r="E554" s="527"/>
      <c r="F554" s="527"/>
      <c r="G554" s="527"/>
      <c r="H554" s="527"/>
      <c r="I554" s="527"/>
      <c r="J554" s="527"/>
      <c r="K554" s="1152"/>
      <c r="L554" s="1153"/>
      <c r="M554" s="1153"/>
      <c r="N554" s="1153"/>
      <c r="O554" s="1153"/>
      <c r="P554" s="1153"/>
      <c r="Q554" s="1153"/>
      <c r="R554" s="1153"/>
      <c r="S554" s="1153"/>
      <c r="T554" s="1153"/>
      <c r="U554" s="1153"/>
      <c r="V554" s="1153"/>
      <c r="W554" s="1153"/>
      <c r="X554" s="1153"/>
      <c r="Y554" s="1153"/>
      <c r="Z554" s="1153"/>
      <c r="AA554" s="1153"/>
      <c r="AB554" s="1154"/>
      <c r="AC554" s="1155"/>
    </row>
    <row r="555" spans="1:29" ht="22.5" customHeight="1" x14ac:dyDescent="0.25">
      <c r="A555" s="526"/>
      <c r="B555" s="527"/>
      <c r="C555" s="527"/>
      <c r="D555" s="527"/>
      <c r="E555" s="527"/>
      <c r="F555" s="527"/>
      <c r="G555" s="527"/>
      <c r="H555" s="527"/>
      <c r="I555" s="527"/>
      <c r="J555" s="527"/>
      <c r="K555" s="1152"/>
      <c r="L555" s="1153"/>
      <c r="M555" s="1153"/>
      <c r="N555" s="1153"/>
      <c r="O555" s="1153"/>
      <c r="P555" s="1153"/>
      <c r="Q555" s="1153"/>
      <c r="R555" s="1153"/>
      <c r="S555" s="1153"/>
      <c r="T555" s="1153"/>
      <c r="U555" s="1153"/>
      <c r="V555" s="1153"/>
      <c r="W555" s="1153"/>
      <c r="X555" s="1153"/>
      <c r="Y555" s="1153"/>
      <c r="Z555" s="1153"/>
      <c r="AA555" s="1153"/>
      <c r="AB555" s="1154"/>
      <c r="AC555" s="1155"/>
    </row>
    <row r="556" spans="1:29" ht="22.5" customHeight="1" x14ac:dyDescent="0.25">
      <c r="A556" s="526"/>
      <c r="B556" s="527"/>
      <c r="C556" s="527"/>
      <c r="D556" s="527"/>
      <c r="E556" s="527"/>
      <c r="F556" s="527"/>
      <c r="G556" s="527"/>
      <c r="H556" s="527"/>
      <c r="I556" s="527"/>
      <c r="J556" s="527"/>
      <c r="K556" s="1152"/>
      <c r="L556" s="1153"/>
      <c r="M556" s="1153"/>
      <c r="N556" s="1153"/>
      <c r="O556" s="1153"/>
      <c r="P556" s="1153"/>
      <c r="Q556" s="1153"/>
      <c r="R556" s="1153"/>
      <c r="S556" s="1153"/>
      <c r="T556" s="1153"/>
      <c r="U556" s="1153"/>
      <c r="V556" s="1153"/>
      <c r="W556" s="1153"/>
      <c r="X556" s="1153"/>
      <c r="Y556" s="1153"/>
      <c r="Z556" s="1153"/>
      <c r="AA556" s="1153"/>
      <c r="AB556" s="1154"/>
      <c r="AC556" s="1155"/>
    </row>
    <row r="557" spans="1:29" ht="22.5" customHeight="1" x14ac:dyDescent="0.25">
      <c r="A557" s="526"/>
      <c r="B557" s="527"/>
      <c r="C557" s="527"/>
      <c r="D557" s="527"/>
      <c r="E557" s="527"/>
      <c r="F557" s="527"/>
      <c r="G557" s="527"/>
      <c r="H557" s="527"/>
      <c r="I557" s="527"/>
      <c r="J557" s="527"/>
      <c r="K557" s="1152"/>
      <c r="L557" s="1153"/>
      <c r="M557" s="1153"/>
      <c r="N557" s="1153"/>
      <c r="O557" s="1153"/>
      <c r="P557" s="1153"/>
      <c r="Q557" s="1153"/>
      <c r="R557" s="1153"/>
      <c r="S557" s="1153"/>
      <c r="T557" s="1153"/>
      <c r="U557" s="1153"/>
      <c r="V557" s="1153"/>
      <c r="W557" s="1153"/>
      <c r="X557" s="1153"/>
      <c r="Y557" s="1153"/>
      <c r="Z557" s="1153"/>
      <c r="AA557" s="1153"/>
      <c r="AB557" s="1154"/>
      <c r="AC557" s="1155"/>
    </row>
    <row r="558" spans="1:29" ht="22.5" customHeight="1" x14ac:dyDescent="0.25">
      <c r="A558" s="526"/>
      <c r="B558" s="527"/>
      <c r="C558" s="527"/>
      <c r="D558" s="527"/>
      <c r="E558" s="527"/>
      <c r="F558" s="527"/>
      <c r="G558" s="527"/>
      <c r="H558" s="527"/>
      <c r="I558" s="527"/>
      <c r="J558" s="527"/>
      <c r="K558" s="1152"/>
      <c r="L558" s="1153"/>
      <c r="M558" s="1153"/>
      <c r="N558" s="1153"/>
      <c r="O558" s="1153"/>
      <c r="P558" s="1153"/>
      <c r="Q558" s="1153"/>
      <c r="R558" s="1153"/>
      <c r="S558" s="1153"/>
      <c r="T558" s="1153"/>
      <c r="U558" s="1153"/>
      <c r="V558" s="1153"/>
      <c r="W558" s="1153"/>
      <c r="X558" s="1153"/>
      <c r="Y558" s="1153"/>
      <c r="Z558" s="1153"/>
      <c r="AA558" s="1153"/>
      <c r="AB558" s="1154"/>
      <c r="AC558" s="1155"/>
    </row>
    <row r="559" spans="1:29" ht="22.5" customHeight="1" x14ac:dyDescent="0.25">
      <c r="A559" s="526"/>
      <c r="B559" s="527"/>
      <c r="C559" s="527"/>
      <c r="D559" s="527"/>
      <c r="E559" s="527"/>
      <c r="F559" s="527"/>
      <c r="G559" s="527"/>
      <c r="H559" s="527"/>
      <c r="I559" s="527"/>
      <c r="J559" s="527"/>
      <c r="K559" s="1152"/>
      <c r="L559" s="1153"/>
      <c r="M559" s="1153"/>
      <c r="N559" s="1153"/>
      <c r="O559" s="1153"/>
      <c r="P559" s="1153"/>
      <c r="Q559" s="1153"/>
      <c r="R559" s="1153"/>
      <c r="S559" s="1153"/>
      <c r="T559" s="1153"/>
      <c r="U559" s="1153"/>
      <c r="V559" s="1153"/>
      <c r="W559" s="1153"/>
      <c r="X559" s="1153"/>
      <c r="Y559" s="1153"/>
      <c r="Z559" s="1153"/>
      <c r="AA559" s="1153"/>
      <c r="AB559" s="1154"/>
      <c r="AC559" s="1155"/>
    </row>
    <row r="560" spans="1:29" ht="22.5" customHeight="1" x14ac:dyDescent="0.25">
      <c r="A560" s="526"/>
      <c r="B560" s="527"/>
      <c r="C560" s="527"/>
      <c r="D560" s="527"/>
      <c r="E560" s="527"/>
      <c r="F560" s="527"/>
      <c r="G560" s="527"/>
      <c r="H560" s="527"/>
      <c r="I560" s="527"/>
      <c r="J560" s="527"/>
      <c r="K560" s="1152"/>
      <c r="L560" s="1153"/>
      <c r="M560" s="1153"/>
      <c r="N560" s="1153"/>
      <c r="O560" s="1153"/>
      <c r="P560" s="1153"/>
      <c r="Q560" s="1153"/>
      <c r="R560" s="1153"/>
      <c r="S560" s="1153"/>
      <c r="T560" s="1153"/>
      <c r="U560" s="1153"/>
      <c r="V560" s="1153"/>
      <c r="W560" s="1153"/>
      <c r="X560" s="1153"/>
      <c r="Y560" s="1153"/>
      <c r="Z560" s="1153"/>
      <c r="AA560" s="1153"/>
      <c r="AB560" s="1154"/>
      <c r="AC560" s="1155"/>
    </row>
    <row r="561" spans="1:29" ht="22.5" customHeight="1" x14ac:dyDescent="0.25">
      <c r="A561" s="526"/>
      <c r="B561" s="527"/>
      <c r="C561" s="527"/>
      <c r="D561" s="527"/>
      <c r="E561" s="527"/>
      <c r="F561" s="527"/>
      <c r="G561" s="527"/>
      <c r="H561" s="527"/>
      <c r="I561" s="527"/>
      <c r="J561" s="527"/>
      <c r="K561" s="1152"/>
      <c r="L561" s="1153"/>
      <c r="M561" s="1153"/>
      <c r="N561" s="1153"/>
      <c r="O561" s="1153"/>
      <c r="P561" s="1153"/>
      <c r="Q561" s="1153"/>
      <c r="R561" s="1153"/>
      <c r="S561" s="1153"/>
      <c r="T561" s="1153"/>
      <c r="U561" s="1153"/>
      <c r="V561" s="1153"/>
      <c r="W561" s="1153"/>
      <c r="X561" s="1153"/>
      <c r="Y561" s="1153"/>
      <c r="Z561" s="1153"/>
      <c r="AA561" s="1153"/>
      <c r="AB561" s="1154"/>
      <c r="AC561" s="1155"/>
    </row>
    <row r="562" spans="1:29" ht="22.5" customHeight="1" x14ac:dyDescent="0.25">
      <c r="A562" s="526"/>
      <c r="B562" s="527"/>
      <c r="C562" s="527"/>
      <c r="D562" s="527"/>
      <c r="E562" s="527"/>
      <c r="F562" s="527"/>
      <c r="G562" s="527"/>
      <c r="H562" s="527"/>
      <c r="I562" s="527"/>
      <c r="J562" s="527"/>
      <c r="K562" s="1152"/>
      <c r="L562" s="1153"/>
      <c r="M562" s="1153"/>
      <c r="N562" s="1153"/>
      <c r="O562" s="1153"/>
      <c r="P562" s="1153"/>
      <c r="Q562" s="1153"/>
      <c r="R562" s="1153"/>
      <c r="S562" s="1153"/>
      <c r="T562" s="1153"/>
      <c r="U562" s="1153"/>
      <c r="V562" s="1153"/>
      <c r="W562" s="1153"/>
      <c r="X562" s="1153"/>
      <c r="Y562" s="1153"/>
      <c r="Z562" s="1153"/>
      <c r="AA562" s="1153"/>
      <c r="AB562" s="1154"/>
      <c r="AC562" s="1155"/>
    </row>
    <row r="563" spans="1:29" ht="22.5" customHeight="1" x14ac:dyDescent="0.25">
      <c r="A563" s="526"/>
      <c r="B563" s="527"/>
      <c r="C563" s="527"/>
      <c r="D563" s="527"/>
      <c r="E563" s="527"/>
      <c r="F563" s="527"/>
      <c r="G563" s="527"/>
      <c r="H563" s="527"/>
      <c r="I563" s="527"/>
      <c r="J563" s="527"/>
      <c r="K563" s="1152"/>
      <c r="L563" s="1153"/>
      <c r="M563" s="1153"/>
      <c r="N563" s="1153"/>
      <c r="O563" s="1153"/>
      <c r="P563" s="1153"/>
      <c r="Q563" s="1153"/>
      <c r="R563" s="1153"/>
      <c r="S563" s="1153"/>
      <c r="T563" s="1153"/>
      <c r="U563" s="1153"/>
      <c r="V563" s="1153"/>
      <c r="W563" s="1153"/>
      <c r="X563" s="1153"/>
      <c r="Y563" s="1153"/>
      <c r="Z563" s="1153"/>
      <c r="AA563" s="1153"/>
      <c r="AB563" s="1154"/>
      <c r="AC563" s="1155"/>
    </row>
    <row r="564" spans="1:29" ht="22.5" customHeight="1" x14ac:dyDescent="0.25">
      <c r="A564" s="526"/>
      <c r="B564" s="527"/>
      <c r="C564" s="527"/>
      <c r="D564" s="527"/>
      <c r="E564" s="527"/>
      <c r="F564" s="527"/>
      <c r="G564" s="527"/>
      <c r="H564" s="527"/>
      <c r="I564" s="527"/>
      <c r="J564" s="527"/>
      <c r="K564" s="1152"/>
      <c r="L564" s="1153"/>
      <c r="M564" s="1153"/>
      <c r="N564" s="1153"/>
      <c r="O564" s="1153"/>
      <c r="P564" s="1153"/>
      <c r="Q564" s="1153"/>
      <c r="R564" s="1153"/>
      <c r="S564" s="1153"/>
      <c r="T564" s="1153"/>
      <c r="U564" s="1153"/>
      <c r="V564" s="1153"/>
      <c r="W564" s="1153"/>
      <c r="X564" s="1153"/>
      <c r="Y564" s="1153"/>
      <c r="Z564" s="1153"/>
      <c r="AA564" s="1153"/>
      <c r="AB564" s="1154"/>
      <c r="AC564" s="1155"/>
    </row>
    <row r="565" spans="1:29" ht="22.5" customHeight="1" x14ac:dyDescent="0.25">
      <c r="A565" s="526"/>
      <c r="B565" s="527"/>
      <c r="C565" s="527"/>
      <c r="D565" s="527"/>
      <c r="E565" s="527"/>
      <c r="F565" s="527"/>
      <c r="G565" s="527"/>
      <c r="H565" s="527"/>
      <c r="I565" s="527"/>
      <c r="J565" s="527"/>
      <c r="K565" s="1152"/>
      <c r="L565" s="1153"/>
      <c r="M565" s="1153"/>
      <c r="N565" s="1153"/>
      <c r="O565" s="1153"/>
      <c r="P565" s="1153"/>
      <c r="Q565" s="1153"/>
      <c r="R565" s="1153"/>
      <c r="S565" s="1153"/>
      <c r="T565" s="1153"/>
      <c r="U565" s="1153"/>
      <c r="V565" s="1153"/>
      <c r="W565" s="1153"/>
      <c r="X565" s="1153"/>
      <c r="Y565" s="1153"/>
      <c r="Z565" s="1153"/>
      <c r="AA565" s="1153"/>
      <c r="AB565" s="1154"/>
      <c r="AC565" s="1155"/>
    </row>
    <row r="566" spans="1:29" ht="22.5" customHeight="1" x14ac:dyDescent="0.25">
      <c r="A566" s="526"/>
      <c r="B566" s="527"/>
      <c r="C566" s="527"/>
      <c r="D566" s="527"/>
      <c r="E566" s="527"/>
      <c r="F566" s="527"/>
      <c r="G566" s="527"/>
      <c r="H566" s="527"/>
      <c r="I566" s="527"/>
      <c r="J566" s="527"/>
      <c r="K566" s="1152"/>
      <c r="L566" s="1153"/>
      <c r="M566" s="1153"/>
      <c r="N566" s="1153"/>
      <c r="O566" s="1153"/>
      <c r="P566" s="1153"/>
      <c r="Q566" s="1153"/>
      <c r="R566" s="1153"/>
      <c r="S566" s="1153"/>
      <c r="T566" s="1153"/>
      <c r="U566" s="1153"/>
      <c r="V566" s="1153"/>
      <c r="W566" s="1153"/>
      <c r="X566" s="1153"/>
      <c r="Y566" s="1153"/>
      <c r="Z566" s="1153"/>
      <c r="AA566" s="1153"/>
      <c r="AB566" s="1154"/>
      <c r="AC566" s="1155"/>
    </row>
    <row r="567" spans="1:29" ht="22.5" customHeight="1" x14ac:dyDescent="0.25">
      <c r="A567" s="526"/>
      <c r="B567" s="527"/>
      <c r="C567" s="527"/>
      <c r="D567" s="527"/>
      <c r="E567" s="527"/>
      <c r="F567" s="527"/>
      <c r="G567" s="527"/>
      <c r="H567" s="527"/>
      <c r="I567" s="527"/>
      <c r="J567" s="527"/>
      <c r="K567" s="1152"/>
      <c r="L567" s="1153"/>
      <c r="M567" s="1153"/>
      <c r="N567" s="1153"/>
      <c r="O567" s="1153"/>
      <c r="P567" s="1153"/>
      <c r="Q567" s="1153"/>
      <c r="R567" s="1153"/>
      <c r="S567" s="1153"/>
      <c r="T567" s="1153"/>
      <c r="U567" s="1153"/>
      <c r="V567" s="1153"/>
      <c r="W567" s="1153"/>
      <c r="X567" s="1153"/>
      <c r="Y567" s="1153"/>
      <c r="Z567" s="1153"/>
      <c r="AA567" s="1153"/>
      <c r="AB567" s="1154"/>
      <c r="AC567" s="1155"/>
    </row>
    <row r="568" spans="1:29" ht="22.5" customHeight="1" x14ac:dyDescent="0.25">
      <c r="A568" s="526"/>
      <c r="B568" s="527"/>
      <c r="C568" s="527"/>
      <c r="D568" s="527"/>
      <c r="E568" s="527"/>
      <c r="F568" s="527"/>
      <c r="G568" s="527"/>
      <c r="H568" s="527"/>
      <c r="I568" s="527"/>
      <c r="J568" s="527"/>
      <c r="K568" s="1152"/>
      <c r="L568" s="1153"/>
      <c r="M568" s="1153"/>
      <c r="N568" s="1153"/>
      <c r="O568" s="1153"/>
      <c r="P568" s="1153"/>
      <c r="Q568" s="1153"/>
      <c r="R568" s="1153"/>
      <c r="S568" s="1153"/>
      <c r="T568" s="1153"/>
      <c r="U568" s="1153"/>
      <c r="V568" s="1153"/>
      <c r="W568" s="1153"/>
      <c r="X568" s="1153"/>
      <c r="Y568" s="1153"/>
      <c r="Z568" s="1153"/>
      <c r="AA568" s="1153"/>
      <c r="AB568" s="1154"/>
      <c r="AC568" s="1155"/>
    </row>
    <row r="569" spans="1:29" ht="22.5" customHeight="1" x14ac:dyDescent="0.25">
      <c r="A569" s="526"/>
      <c r="B569" s="527"/>
      <c r="C569" s="527"/>
      <c r="D569" s="527"/>
      <c r="E569" s="527"/>
      <c r="F569" s="527"/>
      <c r="G569" s="527"/>
      <c r="H569" s="527"/>
      <c r="I569" s="527"/>
      <c r="J569" s="527"/>
      <c r="K569" s="1152"/>
      <c r="L569" s="1153"/>
      <c r="M569" s="1153"/>
      <c r="N569" s="1153"/>
      <c r="O569" s="1153"/>
      <c r="P569" s="1153"/>
      <c r="Q569" s="1153"/>
      <c r="R569" s="1153"/>
      <c r="S569" s="1153"/>
      <c r="T569" s="1153"/>
      <c r="U569" s="1153"/>
      <c r="V569" s="1153"/>
      <c r="W569" s="1153"/>
      <c r="X569" s="1153"/>
      <c r="Y569" s="1153"/>
      <c r="Z569" s="1153"/>
      <c r="AA569" s="1153"/>
      <c r="AB569" s="1154"/>
      <c r="AC569" s="1155"/>
    </row>
    <row r="570" spans="1:29" ht="22.5" customHeight="1" x14ac:dyDescent="0.25">
      <c r="A570" s="526"/>
      <c r="B570" s="527"/>
      <c r="C570" s="527"/>
      <c r="D570" s="527"/>
      <c r="E570" s="527"/>
      <c r="F570" s="527"/>
      <c r="G570" s="527"/>
      <c r="H570" s="527"/>
      <c r="I570" s="527"/>
      <c r="J570" s="527"/>
      <c r="K570" s="1152"/>
      <c r="L570" s="1153"/>
      <c r="M570" s="1153"/>
      <c r="N570" s="1153"/>
      <c r="O570" s="1153"/>
      <c r="P570" s="1153"/>
      <c r="Q570" s="1153"/>
      <c r="R570" s="1153"/>
      <c r="S570" s="1153"/>
      <c r="T570" s="1153"/>
      <c r="U570" s="1153"/>
      <c r="V570" s="1153"/>
      <c r="W570" s="1153"/>
      <c r="X570" s="1153"/>
      <c r="Y570" s="1153"/>
      <c r="Z570" s="1153"/>
      <c r="AA570" s="1153"/>
      <c r="AB570" s="1154"/>
      <c r="AC570" s="1155"/>
    </row>
    <row r="571" spans="1:29" ht="22.5" customHeight="1" x14ac:dyDescent="0.25">
      <c r="A571" s="526"/>
      <c r="B571" s="527"/>
      <c r="C571" s="527"/>
      <c r="D571" s="527"/>
      <c r="E571" s="527"/>
      <c r="F571" s="527"/>
      <c r="G571" s="527"/>
      <c r="H571" s="527"/>
      <c r="I571" s="527"/>
      <c r="J571" s="527"/>
      <c r="K571" s="1152"/>
      <c r="L571" s="1153"/>
      <c r="M571" s="1153"/>
      <c r="N571" s="1153"/>
      <c r="O571" s="1153"/>
      <c r="P571" s="1153"/>
      <c r="Q571" s="1153"/>
      <c r="R571" s="1153"/>
      <c r="S571" s="1153"/>
      <c r="T571" s="1153"/>
      <c r="U571" s="1153"/>
      <c r="V571" s="1153"/>
      <c r="W571" s="1153"/>
      <c r="X571" s="1153"/>
      <c r="Y571" s="1153"/>
      <c r="Z571" s="1153"/>
      <c r="AA571" s="1153"/>
      <c r="AB571" s="1154"/>
      <c r="AC571" s="1155"/>
    </row>
    <row r="572" spans="1:29" ht="22.5" customHeight="1" x14ac:dyDescent="0.25">
      <c r="A572" s="526"/>
      <c r="B572" s="527"/>
      <c r="C572" s="527"/>
      <c r="D572" s="527"/>
      <c r="E572" s="527"/>
      <c r="F572" s="527"/>
      <c r="G572" s="527"/>
      <c r="H572" s="527"/>
      <c r="I572" s="527"/>
      <c r="J572" s="527"/>
      <c r="K572" s="1152"/>
      <c r="L572" s="1153"/>
      <c r="M572" s="1153"/>
      <c r="N572" s="1153"/>
      <c r="O572" s="1153"/>
      <c r="P572" s="1153"/>
      <c r="Q572" s="1153"/>
      <c r="R572" s="1153"/>
      <c r="S572" s="1153"/>
      <c r="T572" s="1153"/>
      <c r="U572" s="1153"/>
      <c r="V572" s="1153"/>
      <c r="W572" s="1153"/>
      <c r="X572" s="1153"/>
      <c r="Y572" s="1153"/>
      <c r="Z572" s="1153"/>
      <c r="AA572" s="1153"/>
      <c r="AB572" s="1154"/>
      <c r="AC572" s="1155"/>
    </row>
    <row r="573" spans="1:29" ht="22.5" customHeight="1" x14ac:dyDescent="0.25">
      <c r="A573" s="526"/>
      <c r="B573" s="527"/>
      <c r="C573" s="527"/>
      <c r="D573" s="527"/>
      <c r="E573" s="527"/>
      <c r="F573" s="527"/>
      <c r="G573" s="527"/>
      <c r="H573" s="527"/>
      <c r="I573" s="527"/>
      <c r="J573" s="527"/>
      <c r="K573" s="1152"/>
      <c r="L573" s="1153"/>
      <c r="M573" s="1153"/>
      <c r="N573" s="1153"/>
      <c r="O573" s="1153"/>
      <c r="P573" s="1153"/>
      <c r="Q573" s="1153"/>
      <c r="R573" s="1153"/>
      <c r="S573" s="1153"/>
      <c r="T573" s="1153"/>
      <c r="U573" s="1153"/>
      <c r="V573" s="1153"/>
      <c r="W573" s="1153"/>
      <c r="X573" s="1153"/>
      <c r="Y573" s="1153"/>
      <c r="Z573" s="1153"/>
      <c r="AA573" s="1153"/>
      <c r="AB573" s="1154"/>
      <c r="AC573" s="1155"/>
    </row>
    <row r="574" spans="1:29" ht="22.5" customHeight="1" x14ac:dyDescent="0.25">
      <c r="A574" s="526"/>
      <c r="B574" s="527"/>
      <c r="C574" s="527"/>
      <c r="D574" s="527"/>
      <c r="E574" s="527"/>
      <c r="F574" s="527"/>
      <c r="G574" s="527"/>
      <c r="H574" s="527"/>
      <c r="I574" s="527"/>
      <c r="J574" s="527"/>
      <c r="K574" s="1152"/>
      <c r="L574" s="1153"/>
      <c r="M574" s="1153"/>
      <c r="N574" s="1153"/>
      <c r="O574" s="1153"/>
      <c r="P574" s="1153"/>
      <c r="Q574" s="1153"/>
      <c r="R574" s="1153"/>
      <c r="S574" s="1153"/>
      <c r="T574" s="1153"/>
      <c r="U574" s="1153"/>
      <c r="V574" s="1153"/>
      <c r="W574" s="1153"/>
      <c r="X574" s="1153"/>
      <c r="Y574" s="1153"/>
      <c r="Z574" s="1153"/>
      <c r="AA574" s="1153"/>
      <c r="AB574" s="1154"/>
      <c r="AC574" s="1155"/>
    </row>
    <row r="575" spans="1:29" ht="22.5" customHeight="1" x14ac:dyDescent="0.25">
      <c r="A575" s="526"/>
      <c r="B575" s="527"/>
      <c r="C575" s="527"/>
      <c r="D575" s="527"/>
      <c r="E575" s="527"/>
      <c r="F575" s="527"/>
      <c r="G575" s="527"/>
      <c r="H575" s="527"/>
      <c r="I575" s="527"/>
      <c r="J575" s="527"/>
      <c r="K575" s="1152"/>
      <c r="L575" s="1153"/>
      <c r="M575" s="1153"/>
      <c r="N575" s="1153"/>
      <c r="O575" s="1153"/>
      <c r="P575" s="1153"/>
      <c r="Q575" s="1153"/>
      <c r="R575" s="1153"/>
      <c r="S575" s="1153"/>
      <c r="T575" s="1153"/>
      <c r="U575" s="1153"/>
      <c r="V575" s="1153"/>
      <c r="W575" s="1153"/>
      <c r="X575" s="1153"/>
      <c r="Y575" s="1153"/>
      <c r="Z575" s="1153"/>
      <c r="AA575" s="1153"/>
      <c r="AB575" s="1154"/>
      <c r="AC575" s="1155"/>
    </row>
    <row r="576" spans="1:29" ht="22.5" customHeight="1" x14ac:dyDescent="0.25">
      <c r="A576" s="526"/>
      <c r="B576" s="527"/>
      <c r="C576" s="527"/>
      <c r="D576" s="527"/>
      <c r="E576" s="527"/>
      <c r="F576" s="527"/>
      <c r="G576" s="527"/>
      <c r="H576" s="527"/>
      <c r="I576" s="527"/>
      <c r="J576" s="527"/>
      <c r="K576" s="1152"/>
      <c r="L576" s="1153"/>
      <c r="M576" s="1153"/>
      <c r="N576" s="1153"/>
      <c r="O576" s="1153"/>
      <c r="P576" s="1153"/>
      <c r="Q576" s="1153"/>
      <c r="R576" s="1153"/>
      <c r="S576" s="1153"/>
      <c r="T576" s="1153"/>
      <c r="U576" s="1153"/>
      <c r="V576" s="1153"/>
      <c r="W576" s="1153"/>
      <c r="X576" s="1153"/>
      <c r="Y576" s="1153"/>
      <c r="Z576" s="1153"/>
      <c r="AA576" s="1153"/>
      <c r="AB576" s="1154"/>
      <c r="AC576" s="1155"/>
    </row>
    <row r="577" spans="1:29" ht="22.5" customHeight="1" x14ac:dyDescent="0.25">
      <c r="A577" s="526"/>
      <c r="B577" s="527"/>
      <c r="C577" s="527"/>
      <c r="D577" s="527"/>
      <c r="E577" s="527"/>
      <c r="F577" s="527"/>
      <c r="G577" s="527"/>
      <c r="H577" s="527"/>
      <c r="I577" s="527"/>
      <c r="J577" s="527"/>
      <c r="K577" s="1152"/>
      <c r="L577" s="1153"/>
      <c r="M577" s="1153"/>
      <c r="N577" s="1153"/>
      <c r="O577" s="1153"/>
      <c r="P577" s="1153"/>
      <c r="Q577" s="1153"/>
      <c r="R577" s="1153"/>
      <c r="S577" s="1153"/>
      <c r="T577" s="1153"/>
      <c r="U577" s="1153"/>
      <c r="V577" s="1153"/>
      <c r="W577" s="1153"/>
      <c r="X577" s="1153"/>
      <c r="Y577" s="1153"/>
      <c r="Z577" s="1153"/>
      <c r="AA577" s="1153"/>
      <c r="AB577" s="1154"/>
      <c r="AC577" s="1155"/>
    </row>
    <row r="578" spans="1:29" ht="22.5" customHeight="1" x14ac:dyDescent="0.25">
      <c r="A578" s="526"/>
      <c r="B578" s="527"/>
      <c r="C578" s="527"/>
      <c r="D578" s="527"/>
      <c r="E578" s="527"/>
      <c r="F578" s="527"/>
      <c r="G578" s="527"/>
      <c r="H578" s="527"/>
      <c r="I578" s="527"/>
      <c r="J578" s="527"/>
      <c r="K578" s="1152"/>
      <c r="L578" s="1153"/>
      <c r="M578" s="1153"/>
      <c r="N578" s="1153"/>
      <c r="O578" s="1153"/>
      <c r="P578" s="1153"/>
      <c r="Q578" s="1153"/>
      <c r="R578" s="1153"/>
      <c r="S578" s="1153"/>
      <c r="T578" s="1153"/>
      <c r="U578" s="1153"/>
      <c r="V578" s="1153"/>
      <c r="W578" s="1153"/>
      <c r="X578" s="1153"/>
      <c r="Y578" s="1153"/>
      <c r="Z578" s="1153"/>
      <c r="AA578" s="1153"/>
      <c r="AB578" s="1154"/>
      <c r="AC578" s="1155"/>
    </row>
    <row r="579" spans="1:29" ht="22.5" customHeight="1" x14ac:dyDescent="0.25">
      <c r="A579" s="526"/>
      <c r="B579" s="527"/>
      <c r="C579" s="527"/>
      <c r="D579" s="527"/>
      <c r="E579" s="527"/>
      <c r="F579" s="527"/>
      <c r="G579" s="527"/>
      <c r="H579" s="527"/>
      <c r="I579" s="527"/>
      <c r="J579" s="527"/>
      <c r="K579" s="1152"/>
      <c r="L579" s="1153"/>
      <c r="M579" s="1153"/>
      <c r="N579" s="1153"/>
      <c r="O579" s="1153"/>
      <c r="P579" s="1153"/>
      <c r="Q579" s="1153"/>
      <c r="R579" s="1153"/>
      <c r="S579" s="1153"/>
      <c r="T579" s="1153"/>
      <c r="U579" s="1153"/>
      <c r="V579" s="1153"/>
      <c r="W579" s="1153"/>
      <c r="X579" s="1153"/>
      <c r="Y579" s="1153"/>
      <c r="Z579" s="1153"/>
      <c r="AA579" s="1153"/>
      <c r="AB579" s="1154"/>
      <c r="AC579" s="1155"/>
    </row>
    <row r="580" spans="1:29" ht="22.5" customHeight="1" x14ac:dyDescent="0.25">
      <c r="A580" s="526"/>
      <c r="B580" s="527"/>
      <c r="C580" s="527"/>
      <c r="D580" s="527"/>
      <c r="E580" s="527"/>
      <c r="F580" s="527"/>
      <c r="G580" s="527"/>
      <c r="H580" s="527"/>
      <c r="I580" s="527"/>
      <c r="J580" s="527"/>
      <c r="K580" s="1152"/>
      <c r="L580" s="1153"/>
      <c r="M580" s="1153"/>
      <c r="N580" s="1153"/>
      <c r="O580" s="1153"/>
      <c r="P580" s="1153"/>
      <c r="Q580" s="1153"/>
      <c r="R580" s="1153"/>
      <c r="S580" s="1153"/>
      <c r="T580" s="1153"/>
      <c r="U580" s="1153"/>
      <c r="V580" s="1153"/>
      <c r="W580" s="1153"/>
      <c r="X580" s="1153"/>
      <c r="Y580" s="1153"/>
      <c r="Z580" s="1153"/>
      <c r="AA580" s="1153"/>
      <c r="AB580" s="1154"/>
      <c r="AC580" s="1155"/>
    </row>
    <row r="581" spans="1:29" ht="22.5" customHeight="1" x14ac:dyDescent="0.25">
      <c r="A581" s="526"/>
      <c r="B581" s="527"/>
      <c r="C581" s="527"/>
      <c r="D581" s="527"/>
      <c r="E581" s="527"/>
      <c r="F581" s="527"/>
      <c r="G581" s="527"/>
      <c r="H581" s="527"/>
      <c r="I581" s="527"/>
      <c r="J581" s="527"/>
      <c r="K581" s="1152"/>
      <c r="L581" s="1153"/>
      <c r="M581" s="1153"/>
      <c r="N581" s="1153"/>
      <c r="O581" s="1153"/>
      <c r="P581" s="1153"/>
      <c r="Q581" s="1153"/>
      <c r="R581" s="1153"/>
      <c r="S581" s="1153"/>
      <c r="T581" s="1153"/>
      <c r="U581" s="1153"/>
      <c r="V581" s="1153"/>
      <c r="W581" s="1153"/>
      <c r="X581" s="1153"/>
      <c r="Y581" s="1153"/>
      <c r="Z581" s="1153"/>
      <c r="AA581" s="1153"/>
      <c r="AB581" s="1154"/>
      <c r="AC581" s="1155"/>
    </row>
    <row r="582" spans="1:29" ht="22.5" customHeight="1" x14ac:dyDescent="0.25">
      <c r="A582" s="526"/>
      <c r="B582" s="527"/>
      <c r="C582" s="527"/>
      <c r="D582" s="527"/>
      <c r="E582" s="527"/>
      <c r="F582" s="527"/>
      <c r="G582" s="527"/>
      <c r="H582" s="527"/>
      <c r="I582" s="527"/>
      <c r="J582" s="527"/>
      <c r="K582" s="1152"/>
      <c r="L582" s="1153"/>
      <c r="M582" s="1153"/>
      <c r="N582" s="1153"/>
      <c r="O582" s="1153"/>
      <c r="P582" s="1153"/>
      <c r="Q582" s="1153"/>
      <c r="R582" s="1153"/>
      <c r="S582" s="1153"/>
      <c r="T582" s="1153"/>
      <c r="U582" s="1153"/>
      <c r="V582" s="1153"/>
      <c r="W582" s="1153"/>
      <c r="X582" s="1153"/>
      <c r="Y582" s="1153"/>
      <c r="Z582" s="1153"/>
      <c r="AA582" s="1153"/>
      <c r="AB582" s="1154"/>
      <c r="AC582" s="1155"/>
    </row>
    <row r="583" spans="1:29" ht="22.5" customHeight="1" x14ac:dyDescent="0.25">
      <c r="A583" s="526"/>
      <c r="B583" s="527"/>
      <c r="C583" s="527"/>
      <c r="D583" s="527"/>
      <c r="E583" s="527"/>
      <c r="F583" s="527"/>
      <c r="G583" s="527"/>
      <c r="H583" s="527"/>
      <c r="I583" s="527"/>
      <c r="J583" s="527"/>
      <c r="K583" s="1152"/>
      <c r="L583" s="1156"/>
      <c r="M583" s="1156"/>
      <c r="N583" s="1156"/>
      <c r="O583" s="1156"/>
      <c r="P583" s="1156"/>
      <c r="Q583" s="1156"/>
      <c r="R583" s="1156"/>
      <c r="S583" s="1156"/>
      <c r="T583" s="1156"/>
      <c r="U583" s="1156"/>
      <c r="V583" s="1156"/>
      <c r="W583" s="1156"/>
      <c r="X583" s="1156"/>
      <c r="Y583" s="1156"/>
      <c r="Z583" s="1156"/>
      <c r="AA583" s="1156"/>
      <c r="AB583" s="1154"/>
      <c r="AC583" s="1155"/>
    </row>
    <row r="584" spans="1:29" ht="22.5" customHeight="1" x14ac:dyDescent="0.25">
      <c r="A584" s="526"/>
      <c r="B584" s="527"/>
      <c r="C584" s="527"/>
      <c r="D584" s="527"/>
      <c r="E584" s="527"/>
      <c r="F584" s="527"/>
      <c r="G584" s="527"/>
      <c r="H584" s="527"/>
      <c r="I584" s="527"/>
      <c r="J584" s="527"/>
      <c r="K584" s="1152"/>
      <c r="L584" s="1156"/>
      <c r="M584" s="1156"/>
      <c r="N584" s="1156"/>
      <c r="O584" s="1156"/>
      <c r="P584" s="1156"/>
      <c r="Q584" s="1156"/>
      <c r="R584" s="1156"/>
      <c r="S584" s="1156"/>
      <c r="T584" s="1156"/>
      <c r="U584" s="1156"/>
      <c r="V584" s="1156"/>
      <c r="W584" s="1156"/>
      <c r="X584" s="1156"/>
      <c r="Y584" s="1156"/>
      <c r="Z584" s="1156"/>
      <c r="AA584" s="1156"/>
      <c r="AB584" s="1154"/>
      <c r="AC584" s="1155"/>
    </row>
    <row r="585" spans="1:29" ht="22.5" customHeight="1" x14ac:dyDescent="0.25">
      <c r="A585" s="526"/>
      <c r="B585" s="527"/>
      <c r="C585" s="527"/>
      <c r="D585" s="527"/>
      <c r="E585" s="527"/>
      <c r="F585" s="527"/>
      <c r="G585" s="527"/>
      <c r="H585" s="527"/>
      <c r="I585" s="527"/>
      <c r="J585" s="527"/>
      <c r="K585" s="1152"/>
      <c r="L585" s="1156"/>
      <c r="M585" s="1156"/>
      <c r="N585" s="1156"/>
      <c r="O585" s="1156"/>
      <c r="P585" s="1156"/>
      <c r="Q585" s="1156"/>
      <c r="R585" s="1156"/>
      <c r="S585" s="1156"/>
      <c r="T585" s="1156"/>
      <c r="U585" s="1156"/>
      <c r="V585" s="1156"/>
      <c r="W585" s="1156"/>
      <c r="X585" s="1156"/>
      <c r="Y585" s="1156"/>
      <c r="Z585" s="1156"/>
      <c r="AA585" s="1156"/>
      <c r="AB585" s="1154"/>
      <c r="AC585" s="1155"/>
    </row>
    <row r="586" spans="1:29" ht="22.5" customHeight="1" x14ac:dyDescent="0.25">
      <c r="A586" s="526"/>
      <c r="B586" s="527"/>
      <c r="C586" s="527"/>
      <c r="D586" s="527"/>
      <c r="E586" s="527"/>
      <c r="F586" s="527"/>
      <c r="G586" s="527"/>
      <c r="H586" s="527"/>
      <c r="I586" s="527"/>
      <c r="J586" s="527"/>
      <c r="K586" s="1152"/>
      <c r="L586" s="1156"/>
      <c r="M586" s="1156"/>
      <c r="N586" s="1156"/>
      <c r="O586" s="1156"/>
      <c r="P586" s="1156"/>
      <c r="Q586" s="1156"/>
      <c r="R586" s="1156"/>
      <c r="S586" s="1156"/>
      <c r="T586" s="1156"/>
      <c r="U586" s="1156"/>
      <c r="V586" s="1156"/>
      <c r="W586" s="1156"/>
      <c r="X586" s="1156"/>
      <c r="Y586" s="1156"/>
      <c r="Z586" s="1156"/>
      <c r="AA586" s="1156"/>
      <c r="AB586" s="1154"/>
      <c r="AC586" s="1155"/>
    </row>
    <row r="587" spans="1:29" ht="22.5" customHeight="1" x14ac:dyDescent="0.25">
      <c r="A587" s="526"/>
      <c r="B587" s="527"/>
      <c r="C587" s="527"/>
      <c r="D587" s="527"/>
      <c r="E587" s="527"/>
      <c r="F587" s="527"/>
      <c r="G587" s="527"/>
      <c r="H587" s="527"/>
      <c r="I587" s="527"/>
      <c r="J587" s="527"/>
      <c r="K587" s="1152"/>
      <c r="L587" s="1156"/>
      <c r="M587" s="1156"/>
      <c r="N587" s="1156"/>
      <c r="O587" s="1156"/>
      <c r="P587" s="1156"/>
      <c r="Q587" s="1156"/>
      <c r="R587" s="1156"/>
      <c r="S587" s="1156"/>
      <c r="T587" s="1156"/>
      <c r="U587" s="1156"/>
      <c r="V587" s="1156"/>
      <c r="W587" s="1156"/>
      <c r="X587" s="1156"/>
      <c r="Y587" s="1156"/>
      <c r="Z587" s="1156"/>
      <c r="AA587" s="1156"/>
      <c r="AB587" s="1154"/>
      <c r="AC587" s="1155"/>
    </row>
    <row r="588" spans="1:29" ht="22.5" customHeight="1" x14ac:dyDescent="0.25">
      <c r="A588" s="526"/>
      <c r="B588" s="527"/>
      <c r="C588" s="527"/>
      <c r="D588" s="527"/>
      <c r="E588" s="527"/>
      <c r="F588" s="527"/>
      <c r="G588" s="527"/>
      <c r="H588" s="527"/>
      <c r="I588" s="527"/>
      <c r="J588" s="527"/>
      <c r="K588" s="1152"/>
      <c r="L588" s="1156"/>
      <c r="M588" s="1156"/>
      <c r="N588" s="1156"/>
      <c r="O588" s="1156"/>
      <c r="P588" s="1156"/>
      <c r="Q588" s="1156"/>
      <c r="R588" s="1156"/>
      <c r="S588" s="1156"/>
      <c r="T588" s="1156"/>
      <c r="U588" s="1156"/>
      <c r="V588" s="1156"/>
      <c r="W588" s="1156"/>
      <c r="X588" s="1156"/>
      <c r="Y588" s="1156"/>
      <c r="Z588" s="1156"/>
      <c r="AA588" s="1156"/>
      <c r="AB588" s="1154"/>
      <c r="AC588" s="1155"/>
    </row>
    <row r="589" spans="1:29" ht="22.5" customHeight="1" x14ac:dyDescent="0.25">
      <c r="A589" s="526"/>
      <c r="B589" s="527"/>
      <c r="C589" s="527"/>
      <c r="D589" s="527"/>
      <c r="E589" s="527"/>
      <c r="F589" s="527"/>
      <c r="G589" s="527"/>
      <c r="H589" s="527"/>
      <c r="I589" s="527"/>
      <c r="J589" s="527"/>
      <c r="K589" s="1152"/>
      <c r="L589" s="1156"/>
      <c r="M589" s="1156"/>
      <c r="N589" s="1156"/>
      <c r="O589" s="1156"/>
      <c r="P589" s="1156"/>
      <c r="Q589" s="1156"/>
      <c r="R589" s="1156"/>
      <c r="S589" s="1156"/>
      <c r="T589" s="1156"/>
      <c r="U589" s="1156"/>
      <c r="V589" s="1156"/>
      <c r="W589" s="1156"/>
      <c r="X589" s="1156"/>
      <c r="Y589" s="1156"/>
      <c r="Z589" s="1156"/>
      <c r="AA589" s="1156"/>
      <c r="AB589" s="1154"/>
      <c r="AC589" s="1155"/>
    </row>
    <row r="590" spans="1:29" ht="22.5" customHeight="1" x14ac:dyDescent="0.25">
      <c r="A590" s="526"/>
      <c r="B590" s="527"/>
      <c r="C590" s="527"/>
      <c r="D590" s="527"/>
      <c r="E590" s="527"/>
      <c r="F590" s="527"/>
      <c r="G590" s="527"/>
      <c r="H590" s="527"/>
      <c r="I590" s="527"/>
      <c r="J590" s="527"/>
      <c r="K590" s="1152"/>
      <c r="L590" s="1156"/>
      <c r="M590" s="1156"/>
      <c r="N590" s="1156"/>
      <c r="O590" s="1156"/>
      <c r="P590" s="1156"/>
      <c r="Q590" s="1156"/>
      <c r="R590" s="1156"/>
      <c r="S590" s="1156"/>
      <c r="T590" s="1156"/>
      <c r="U590" s="1156"/>
      <c r="V590" s="1156"/>
      <c r="W590" s="1156"/>
      <c r="X590" s="1156"/>
      <c r="Y590" s="1156"/>
      <c r="Z590" s="1156"/>
      <c r="AA590" s="1156"/>
      <c r="AB590" s="1154"/>
      <c r="AC590" s="1155"/>
    </row>
    <row r="591" spans="1:29" ht="22.5" customHeight="1" x14ac:dyDescent="0.25">
      <c r="A591" s="526"/>
      <c r="B591" s="527"/>
      <c r="C591" s="527"/>
      <c r="D591" s="527"/>
      <c r="E591" s="527"/>
      <c r="F591" s="527"/>
      <c r="G591" s="527"/>
      <c r="H591" s="527"/>
      <c r="I591" s="527"/>
      <c r="J591" s="527"/>
      <c r="K591" s="1152"/>
      <c r="L591" s="1156"/>
      <c r="M591" s="1156"/>
      <c r="N591" s="1156"/>
      <c r="O591" s="1156"/>
      <c r="P591" s="1156"/>
      <c r="Q591" s="1156"/>
      <c r="R591" s="1156"/>
      <c r="S591" s="1156"/>
      <c r="T591" s="1156"/>
      <c r="U591" s="1156"/>
      <c r="V591" s="1156"/>
      <c r="W591" s="1156"/>
      <c r="X591" s="1156"/>
      <c r="Y591" s="1156"/>
      <c r="Z591" s="1156"/>
      <c r="AA591" s="1156"/>
      <c r="AB591" s="1154"/>
      <c r="AC591" s="1155"/>
    </row>
    <row r="592" spans="1:29" ht="22.5" customHeight="1" x14ac:dyDescent="0.25">
      <c r="A592" s="526"/>
      <c r="B592" s="527"/>
      <c r="C592" s="527"/>
      <c r="D592" s="527"/>
      <c r="E592" s="527"/>
      <c r="F592" s="527"/>
      <c r="G592" s="527"/>
      <c r="H592" s="527"/>
      <c r="I592" s="527"/>
      <c r="J592" s="527"/>
      <c r="K592" s="1152"/>
      <c r="L592" s="1156"/>
      <c r="M592" s="1156"/>
      <c r="N592" s="1156"/>
      <c r="O592" s="1156"/>
      <c r="P592" s="1156"/>
      <c r="Q592" s="1156"/>
      <c r="R592" s="1156"/>
      <c r="S592" s="1156"/>
      <c r="T592" s="1156"/>
      <c r="U592" s="1156"/>
      <c r="V592" s="1156"/>
      <c r="W592" s="1156"/>
      <c r="X592" s="1156"/>
      <c r="Y592" s="1156"/>
      <c r="Z592" s="1156"/>
      <c r="AA592" s="1156"/>
      <c r="AB592" s="1154"/>
      <c r="AC592" s="1155"/>
    </row>
    <row r="593" spans="1:29" ht="22.5" customHeight="1" x14ac:dyDescent="0.25">
      <c r="A593" s="526"/>
      <c r="B593" s="527"/>
      <c r="C593" s="527"/>
      <c r="D593" s="527"/>
      <c r="E593" s="527"/>
      <c r="F593" s="527"/>
      <c r="G593" s="527"/>
      <c r="H593" s="527"/>
      <c r="I593" s="527"/>
      <c r="J593" s="527"/>
      <c r="K593" s="1152"/>
      <c r="L593" s="1156"/>
      <c r="M593" s="1156"/>
      <c r="N593" s="1156"/>
      <c r="O593" s="1156"/>
      <c r="P593" s="1156"/>
      <c r="Q593" s="1156"/>
      <c r="R593" s="1156"/>
      <c r="S593" s="1156"/>
      <c r="T593" s="1156"/>
      <c r="U593" s="1156"/>
      <c r="V593" s="1156"/>
      <c r="W593" s="1156"/>
      <c r="X593" s="1156"/>
      <c r="Y593" s="1156"/>
      <c r="Z593" s="1156"/>
      <c r="AA593" s="1156"/>
      <c r="AB593" s="1154"/>
      <c r="AC593" s="1155"/>
    </row>
    <row r="594" spans="1:29" ht="22.5" customHeight="1" x14ac:dyDescent="0.25">
      <c r="A594" s="526"/>
      <c r="B594" s="527"/>
      <c r="C594" s="527"/>
      <c r="D594" s="527"/>
      <c r="E594" s="527"/>
      <c r="F594" s="527"/>
      <c r="G594" s="527"/>
      <c r="H594" s="527"/>
      <c r="I594" s="527"/>
      <c r="J594" s="527"/>
      <c r="K594" s="1152"/>
      <c r="L594" s="1156"/>
      <c r="M594" s="1156"/>
      <c r="N594" s="1156"/>
      <c r="O594" s="1156"/>
      <c r="P594" s="1156"/>
      <c r="Q594" s="1156"/>
      <c r="R594" s="1156"/>
      <c r="S594" s="1156"/>
      <c r="T594" s="1156"/>
      <c r="U594" s="1156"/>
      <c r="V594" s="1156"/>
      <c r="W594" s="1156"/>
      <c r="X594" s="1156"/>
      <c r="Y594" s="1156"/>
      <c r="Z594" s="1156"/>
      <c r="AA594" s="1156"/>
      <c r="AB594" s="1154"/>
      <c r="AC594" s="1155"/>
    </row>
    <row r="595" spans="1:29" ht="22.5" customHeight="1" x14ac:dyDescent="0.25">
      <c r="A595" s="526"/>
      <c r="B595" s="527"/>
      <c r="C595" s="527"/>
      <c r="D595" s="527"/>
      <c r="E595" s="527"/>
      <c r="F595" s="527"/>
      <c r="G595" s="527"/>
      <c r="H595" s="527"/>
      <c r="I595" s="527"/>
      <c r="J595" s="527"/>
      <c r="K595" s="1152"/>
      <c r="L595" s="1156"/>
      <c r="M595" s="1156"/>
      <c r="N595" s="1156"/>
      <c r="O595" s="1156"/>
      <c r="P595" s="1156"/>
      <c r="Q595" s="1156"/>
      <c r="R595" s="1156"/>
      <c r="S595" s="1156"/>
      <c r="T595" s="1156"/>
      <c r="U595" s="1156"/>
      <c r="V595" s="1156"/>
      <c r="W595" s="1156"/>
      <c r="X595" s="1156"/>
      <c r="Y595" s="1156"/>
      <c r="Z595" s="1156"/>
      <c r="AA595" s="1156"/>
      <c r="AB595" s="1154"/>
      <c r="AC595" s="1155"/>
    </row>
    <row r="596" spans="1:29" ht="22.5" customHeight="1" x14ac:dyDescent="0.25">
      <c r="A596" s="526"/>
      <c r="B596" s="527"/>
      <c r="C596" s="527"/>
      <c r="D596" s="527"/>
      <c r="E596" s="527"/>
      <c r="F596" s="527"/>
      <c r="G596" s="527"/>
      <c r="H596" s="527"/>
      <c r="I596" s="527"/>
      <c r="J596" s="527"/>
      <c r="K596" s="1152"/>
      <c r="L596" s="1156"/>
      <c r="M596" s="1156"/>
      <c r="N596" s="1156"/>
      <c r="O596" s="1156"/>
      <c r="P596" s="1156"/>
      <c r="Q596" s="1156"/>
      <c r="R596" s="1156"/>
      <c r="S596" s="1156"/>
      <c r="T596" s="1156"/>
      <c r="U596" s="1156"/>
      <c r="V596" s="1156"/>
      <c r="W596" s="1156"/>
      <c r="X596" s="1156"/>
      <c r="Y596" s="1156"/>
      <c r="Z596" s="1156"/>
      <c r="AA596" s="1156"/>
      <c r="AB596" s="1154"/>
      <c r="AC596" s="1155"/>
    </row>
    <row r="597" spans="1:29" ht="22.5" customHeight="1" x14ac:dyDescent="0.25">
      <c r="A597" s="526"/>
      <c r="B597" s="527"/>
      <c r="C597" s="527"/>
      <c r="D597" s="527"/>
      <c r="E597" s="527"/>
      <c r="F597" s="527"/>
      <c r="G597" s="527"/>
      <c r="H597" s="527"/>
      <c r="I597" s="527"/>
      <c r="J597" s="527"/>
      <c r="K597" s="1152"/>
      <c r="L597" s="1156"/>
      <c r="M597" s="1156"/>
      <c r="N597" s="1156"/>
      <c r="O597" s="1156"/>
      <c r="P597" s="1156"/>
      <c r="Q597" s="1156"/>
      <c r="R597" s="1156"/>
      <c r="S597" s="1156"/>
      <c r="T597" s="1156"/>
      <c r="U597" s="1156"/>
      <c r="V597" s="1156"/>
      <c r="W597" s="1156"/>
      <c r="X597" s="1156"/>
      <c r="Y597" s="1156"/>
      <c r="Z597" s="1156"/>
      <c r="AA597" s="1156"/>
      <c r="AB597" s="1154"/>
      <c r="AC597" s="1155"/>
    </row>
    <row r="598" spans="1:29" ht="22.5" customHeight="1" x14ac:dyDescent="0.25">
      <c r="A598" s="526"/>
      <c r="B598" s="527"/>
      <c r="C598" s="527"/>
      <c r="D598" s="527"/>
      <c r="E598" s="527"/>
      <c r="F598" s="527"/>
      <c r="G598" s="527"/>
      <c r="H598" s="527"/>
      <c r="I598" s="527"/>
      <c r="J598" s="527"/>
      <c r="K598" s="1152"/>
      <c r="L598" s="1156"/>
      <c r="M598" s="1156"/>
      <c r="N598" s="1156"/>
      <c r="O598" s="1156"/>
      <c r="P598" s="1156"/>
      <c r="Q598" s="1156"/>
      <c r="R598" s="1156"/>
      <c r="S598" s="1156"/>
      <c r="T598" s="1156"/>
      <c r="U598" s="1156"/>
      <c r="V598" s="1156"/>
      <c r="W598" s="1156"/>
      <c r="X598" s="1156"/>
      <c r="Y598" s="1156"/>
      <c r="Z598" s="1156"/>
      <c r="AA598" s="1156"/>
      <c r="AB598" s="1154"/>
      <c r="AC598" s="1155"/>
    </row>
    <row r="599" spans="1:29" ht="22.5" customHeight="1" x14ac:dyDescent="0.25">
      <c r="A599" s="526"/>
      <c r="B599" s="527"/>
      <c r="C599" s="527"/>
      <c r="D599" s="527"/>
      <c r="E599" s="527"/>
      <c r="F599" s="527"/>
      <c r="G599" s="527"/>
      <c r="H599" s="527"/>
      <c r="I599" s="527"/>
      <c r="J599" s="527"/>
      <c r="K599" s="1152"/>
      <c r="L599" s="1156"/>
      <c r="M599" s="1156"/>
      <c r="N599" s="1156"/>
      <c r="O599" s="1156"/>
      <c r="P599" s="1156"/>
      <c r="Q599" s="1156"/>
      <c r="R599" s="1156"/>
      <c r="S599" s="1156"/>
      <c r="T599" s="1156"/>
      <c r="U599" s="1156"/>
      <c r="V599" s="1156"/>
      <c r="W599" s="1156"/>
      <c r="X599" s="1156"/>
      <c r="Y599" s="1156"/>
      <c r="Z599" s="1156"/>
      <c r="AA599" s="1156"/>
      <c r="AB599" s="1154"/>
      <c r="AC599" s="1155"/>
    </row>
    <row r="600" spans="1:29" ht="22.5" customHeight="1" x14ac:dyDescent="0.25">
      <c r="A600" s="526"/>
      <c r="B600" s="527"/>
      <c r="C600" s="527"/>
      <c r="D600" s="527"/>
      <c r="E600" s="527"/>
      <c r="F600" s="527"/>
      <c r="G600" s="527"/>
      <c r="H600" s="527"/>
      <c r="I600" s="527"/>
      <c r="J600" s="527"/>
      <c r="K600" s="1152"/>
      <c r="L600" s="1156"/>
      <c r="M600" s="1156"/>
      <c r="N600" s="1156"/>
      <c r="O600" s="1156"/>
      <c r="P600" s="1156"/>
      <c r="Q600" s="1156"/>
      <c r="R600" s="1156"/>
      <c r="S600" s="1156"/>
      <c r="T600" s="1156"/>
      <c r="U600" s="1156"/>
      <c r="V600" s="1156"/>
      <c r="W600" s="1156"/>
      <c r="X600" s="1156"/>
      <c r="Y600" s="1156"/>
      <c r="Z600" s="1156"/>
      <c r="AA600" s="1156"/>
      <c r="AB600" s="1154"/>
      <c r="AC600" s="1155"/>
    </row>
    <row r="601" spans="1:29" ht="22.5" customHeight="1" x14ac:dyDescent="0.25">
      <c r="A601" s="526"/>
      <c r="B601" s="527"/>
      <c r="C601" s="527"/>
      <c r="D601" s="527"/>
      <c r="E601" s="527"/>
      <c r="F601" s="527"/>
      <c r="G601" s="527"/>
      <c r="H601" s="527"/>
      <c r="I601" s="527"/>
      <c r="J601" s="527"/>
      <c r="K601" s="1152"/>
      <c r="L601" s="1156"/>
      <c r="M601" s="1156"/>
      <c r="N601" s="1156"/>
      <c r="O601" s="1156"/>
      <c r="P601" s="1156"/>
      <c r="Q601" s="1156"/>
      <c r="R601" s="1156"/>
      <c r="S601" s="1156"/>
      <c r="T601" s="1156"/>
      <c r="U601" s="1156"/>
      <c r="V601" s="1156"/>
      <c r="W601" s="1156"/>
      <c r="X601" s="1156"/>
      <c r="Y601" s="1156"/>
      <c r="Z601" s="1156"/>
      <c r="AA601" s="1156"/>
      <c r="AB601" s="1154"/>
      <c r="AC601" s="1155"/>
    </row>
    <row r="602" spans="1:29" ht="22.5" customHeight="1" x14ac:dyDescent="0.25">
      <c r="A602" s="526"/>
      <c r="B602" s="527"/>
      <c r="C602" s="527"/>
      <c r="D602" s="527"/>
      <c r="E602" s="527"/>
      <c r="F602" s="527"/>
      <c r="G602" s="527"/>
      <c r="H602" s="527"/>
      <c r="I602" s="527"/>
      <c r="J602" s="527"/>
      <c r="K602" s="1152"/>
      <c r="L602" s="1156"/>
      <c r="M602" s="1156"/>
      <c r="N602" s="1156"/>
      <c r="O602" s="1156"/>
      <c r="P602" s="1156"/>
      <c r="Q602" s="1156"/>
      <c r="R602" s="1156"/>
      <c r="S602" s="1156"/>
      <c r="T602" s="1156"/>
      <c r="U602" s="1156"/>
      <c r="V602" s="1156"/>
      <c r="W602" s="1156"/>
      <c r="X602" s="1156"/>
      <c r="Y602" s="1156"/>
      <c r="Z602" s="1156"/>
      <c r="AA602" s="1156"/>
      <c r="AB602" s="1154"/>
      <c r="AC602" s="1155"/>
    </row>
    <row r="603" spans="1:29" ht="22.5" customHeight="1" x14ac:dyDescent="0.25">
      <c r="A603" s="526"/>
      <c r="B603" s="527"/>
      <c r="C603" s="527"/>
      <c r="D603" s="527"/>
      <c r="E603" s="527"/>
      <c r="F603" s="527"/>
      <c r="G603" s="527"/>
      <c r="H603" s="527"/>
      <c r="I603" s="527"/>
      <c r="J603" s="527"/>
      <c r="K603" s="1152"/>
      <c r="L603" s="1156"/>
      <c r="M603" s="1156"/>
      <c r="N603" s="1156"/>
      <c r="O603" s="1156"/>
      <c r="P603" s="1156"/>
      <c r="Q603" s="1156"/>
      <c r="R603" s="1156"/>
      <c r="S603" s="1156"/>
      <c r="T603" s="1156"/>
      <c r="U603" s="1156"/>
      <c r="V603" s="1156"/>
      <c r="W603" s="1156"/>
      <c r="X603" s="1156"/>
      <c r="Y603" s="1156"/>
      <c r="Z603" s="1156"/>
      <c r="AA603" s="1156"/>
      <c r="AB603" s="1154"/>
      <c r="AC603" s="1155"/>
    </row>
    <row r="604" spans="1:29" ht="22.5" customHeight="1" x14ac:dyDescent="0.25">
      <c r="A604" s="526"/>
      <c r="B604" s="527"/>
      <c r="C604" s="527"/>
      <c r="D604" s="527"/>
      <c r="E604" s="527"/>
      <c r="F604" s="527"/>
      <c r="G604" s="527"/>
      <c r="H604" s="527"/>
      <c r="I604" s="527"/>
      <c r="J604" s="527"/>
      <c r="K604" s="1152"/>
      <c r="L604" s="1156"/>
      <c r="M604" s="1156"/>
      <c r="N604" s="1156"/>
      <c r="O604" s="1156"/>
      <c r="P604" s="1156"/>
      <c r="Q604" s="1156"/>
      <c r="R604" s="1156"/>
      <c r="S604" s="1156"/>
      <c r="T604" s="1156"/>
      <c r="U604" s="1156"/>
      <c r="V604" s="1156"/>
      <c r="W604" s="1156"/>
      <c r="X604" s="1156"/>
      <c r="Y604" s="1156"/>
      <c r="Z604" s="1156"/>
      <c r="AA604" s="1156"/>
      <c r="AB604" s="1154"/>
      <c r="AC604" s="1155"/>
    </row>
    <row r="605" spans="1:29" ht="22.5" customHeight="1" x14ac:dyDescent="0.25">
      <c r="A605" s="526"/>
      <c r="B605" s="527"/>
      <c r="C605" s="527"/>
      <c r="D605" s="527"/>
      <c r="E605" s="527"/>
      <c r="F605" s="527"/>
      <c r="G605" s="527"/>
      <c r="H605" s="527"/>
      <c r="I605" s="527"/>
      <c r="J605" s="527"/>
      <c r="K605" s="1152"/>
      <c r="L605" s="1156"/>
      <c r="M605" s="1156"/>
      <c r="N605" s="1156"/>
      <c r="O605" s="1156"/>
      <c r="P605" s="1156"/>
      <c r="Q605" s="1156"/>
      <c r="R605" s="1156"/>
      <c r="S605" s="1156"/>
      <c r="T605" s="1156"/>
      <c r="U605" s="1156"/>
      <c r="V605" s="1156"/>
      <c r="W605" s="1156"/>
      <c r="X605" s="1156"/>
      <c r="Y605" s="1156"/>
      <c r="Z605" s="1156"/>
      <c r="AA605" s="1156"/>
      <c r="AB605" s="1154"/>
      <c r="AC605" s="1155"/>
    </row>
    <row r="606" spans="1:29" ht="22.5" customHeight="1" x14ac:dyDescent="0.25">
      <c r="A606" s="526"/>
      <c r="B606" s="527"/>
      <c r="C606" s="527"/>
      <c r="D606" s="527"/>
      <c r="E606" s="527"/>
      <c r="F606" s="527"/>
      <c r="G606" s="527"/>
      <c r="H606" s="527"/>
      <c r="I606" s="527"/>
      <c r="J606" s="527"/>
      <c r="K606" s="1152"/>
      <c r="L606" s="1156"/>
      <c r="M606" s="1156"/>
      <c r="N606" s="1156"/>
      <c r="O606" s="1156"/>
      <c r="P606" s="1156"/>
      <c r="Q606" s="1156"/>
      <c r="R606" s="1156"/>
      <c r="S606" s="1156"/>
      <c r="T606" s="1156"/>
      <c r="U606" s="1156"/>
      <c r="V606" s="1156"/>
      <c r="W606" s="1156"/>
      <c r="X606" s="1156"/>
      <c r="Y606" s="1156"/>
      <c r="Z606" s="1156"/>
      <c r="AA606" s="1156"/>
      <c r="AB606" s="1154"/>
      <c r="AC606" s="1155"/>
    </row>
    <row r="607" spans="1:29" ht="22.5" customHeight="1" x14ac:dyDescent="0.25">
      <c r="A607" s="526"/>
      <c r="B607" s="527"/>
      <c r="C607" s="527"/>
      <c r="D607" s="527"/>
      <c r="E607" s="527"/>
      <c r="F607" s="527"/>
      <c r="G607" s="527"/>
      <c r="H607" s="527"/>
      <c r="I607" s="527"/>
      <c r="J607" s="527"/>
      <c r="K607" s="1152"/>
      <c r="L607" s="1156"/>
      <c r="M607" s="1156"/>
      <c r="N607" s="1156"/>
      <c r="O607" s="1156"/>
      <c r="P607" s="1156"/>
      <c r="Q607" s="1156"/>
      <c r="R607" s="1156"/>
      <c r="S607" s="1156"/>
      <c r="T607" s="1156"/>
      <c r="U607" s="1156"/>
      <c r="V607" s="1156"/>
      <c r="W607" s="1156"/>
      <c r="X607" s="1156"/>
      <c r="Y607" s="1156"/>
      <c r="Z607" s="1156"/>
      <c r="AA607" s="1156"/>
      <c r="AB607" s="1154"/>
      <c r="AC607" s="1155"/>
    </row>
    <row r="608" spans="1:29" ht="22.5" customHeight="1" x14ac:dyDescent="0.25">
      <c r="A608" s="526"/>
      <c r="B608" s="527"/>
      <c r="C608" s="527"/>
      <c r="D608" s="527"/>
      <c r="E608" s="527"/>
      <c r="F608" s="527"/>
      <c r="G608" s="527"/>
      <c r="H608" s="527"/>
      <c r="I608" s="527"/>
      <c r="J608" s="527"/>
      <c r="K608" s="1152"/>
      <c r="L608" s="1156"/>
      <c r="M608" s="1156"/>
      <c r="N608" s="1156"/>
      <c r="O608" s="1156"/>
      <c r="P608" s="1156"/>
      <c r="Q608" s="1156"/>
      <c r="R608" s="1156"/>
      <c r="S608" s="1156"/>
      <c r="T608" s="1156"/>
      <c r="U608" s="1156"/>
      <c r="V608" s="1156"/>
      <c r="W608" s="1156"/>
      <c r="X608" s="1156"/>
      <c r="Y608" s="1156"/>
      <c r="Z608" s="1156"/>
      <c r="AA608" s="1156"/>
      <c r="AB608" s="1154"/>
      <c r="AC608" s="1155"/>
    </row>
    <row r="609" spans="1:29" ht="22.5" customHeight="1" x14ac:dyDescent="0.25">
      <c r="A609" s="526"/>
      <c r="B609" s="527"/>
      <c r="C609" s="527"/>
      <c r="D609" s="527"/>
      <c r="E609" s="527"/>
      <c r="F609" s="527"/>
      <c r="G609" s="527"/>
      <c r="H609" s="527"/>
      <c r="I609" s="527"/>
      <c r="J609" s="527"/>
      <c r="K609" s="1152"/>
      <c r="L609" s="1156"/>
      <c r="M609" s="1156"/>
      <c r="N609" s="1156"/>
      <c r="O609" s="1156"/>
      <c r="P609" s="1156"/>
      <c r="Q609" s="1156"/>
      <c r="R609" s="1156"/>
      <c r="S609" s="1156"/>
      <c r="T609" s="1156"/>
      <c r="U609" s="1156"/>
      <c r="V609" s="1156"/>
      <c r="W609" s="1156"/>
      <c r="X609" s="1156"/>
      <c r="Y609" s="1156"/>
      <c r="Z609" s="1156"/>
      <c r="AA609" s="1156"/>
      <c r="AB609" s="1154"/>
      <c r="AC609" s="1155"/>
    </row>
    <row r="610" spans="1:29" ht="22.5" customHeight="1" x14ac:dyDescent="0.25">
      <c r="A610" s="526"/>
      <c r="B610" s="527"/>
      <c r="C610" s="527"/>
      <c r="D610" s="527"/>
      <c r="E610" s="527"/>
      <c r="F610" s="527"/>
      <c r="G610" s="527"/>
      <c r="H610" s="527"/>
      <c r="I610" s="527"/>
      <c r="J610" s="527"/>
      <c r="K610" s="1152"/>
      <c r="L610" s="1156"/>
      <c r="M610" s="1156"/>
      <c r="N610" s="1156"/>
      <c r="O610" s="1156"/>
      <c r="P610" s="1156"/>
      <c r="Q610" s="1156"/>
      <c r="R610" s="1156"/>
      <c r="S610" s="1156"/>
      <c r="T610" s="1156"/>
      <c r="U610" s="1156"/>
      <c r="V610" s="1156"/>
      <c r="W610" s="1156"/>
      <c r="X610" s="1156"/>
      <c r="Y610" s="1156"/>
      <c r="Z610" s="1156"/>
      <c r="AA610" s="1156"/>
      <c r="AB610" s="1154"/>
      <c r="AC610" s="1155"/>
    </row>
    <row r="611" spans="1:29" ht="22.5" customHeight="1" x14ac:dyDescent="0.25">
      <c r="A611" s="526"/>
      <c r="B611" s="527"/>
      <c r="C611" s="527"/>
      <c r="D611" s="527"/>
      <c r="E611" s="527"/>
      <c r="F611" s="527"/>
      <c r="G611" s="527"/>
      <c r="H611" s="527"/>
      <c r="I611" s="527"/>
      <c r="J611" s="527"/>
      <c r="K611" s="1152"/>
      <c r="L611" s="1156"/>
      <c r="M611" s="1156"/>
      <c r="N611" s="1156"/>
      <c r="O611" s="1156"/>
      <c r="P611" s="1156"/>
      <c r="Q611" s="1156"/>
      <c r="R611" s="1156"/>
      <c r="S611" s="1156"/>
      <c r="T611" s="1156"/>
      <c r="U611" s="1156"/>
      <c r="V611" s="1156"/>
      <c r="W611" s="1156"/>
      <c r="X611" s="1156"/>
      <c r="Y611" s="1156"/>
      <c r="Z611" s="1156"/>
      <c r="AA611" s="1156"/>
      <c r="AB611" s="1154"/>
      <c r="AC611" s="1155"/>
    </row>
    <row r="612" spans="1:29" ht="22.5" customHeight="1" x14ac:dyDescent="0.25">
      <c r="A612" s="526"/>
      <c r="B612" s="527"/>
      <c r="C612" s="527"/>
      <c r="D612" s="527"/>
      <c r="E612" s="527"/>
      <c r="F612" s="527"/>
      <c r="G612" s="527"/>
      <c r="H612" s="527"/>
      <c r="I612" s="527"/>
      <c r="J612" s="527"/>
      <c r="K612" s="1152"/>
      <c r="L612" s="1156"/>
      <c r="M612" s="1156"/>
      <c r="N612" s="1156"/>
      <c r="O612" s="1156"/>
      <c r="P612" s="1156"/>
      <c r="Q612" s="1156"/>
      <c r="R612" s="1156"/>
      <c r="S612" s="1156"/>
      <c r="T612" s="1156"/>
      <c r="U612" s="1156"/>
      <c r="V612" s="1156"/>
      <c r="W612" s="1156"/>
      <c r="X612" s="1156"/>
      <c r="Y612" s="1156"/>
      <c r="Z612" s="1156"/>
      <c r="AA612" s="1156"/>
      <c r="AB612" s="1154"/>
      <c r="AC612" s="1155"/>
    </row>
    <row r="613" spans="1:29" ht="22.5" customHeight="1" x14ac:dyDescent="0.25">
      <c r="A613" s="526"/>
      <c r="B613" s="527"/>
      <c r="C613" s="527"/>
      <c r="D613" s="527"/>
      <c r="E613" s="527"/>
      <c r="F613" s="527"/>
      <c r="G613" s="527"/>
      <c r="H613" s="527"/>
      <c r="I613" s="527"/>
      <c r="J613" s="527"/>
      <c r="K613" s="1152"/>
      <c r="L613" s="1156"/>
      <c r="M613" s="1156"/>
      <c r="N613" s="1156"/>
      <c r="O613" s="1156"/>
      <c r="P613" s="1156"/>
      <c r="Q613" s="1156"/>
      <c r="R613" s="1156"/>
      <c r="S613" s="1156"/>
      <c r="T613" s="1156"/>
      <c r="U613" s="1156"/>
      <c r="V613" s="1156"/>
      <c r="W613" s="1156"/>
      <c r="X613" s="1156"/>
      <c r="Y613" s="1156"/>
      <c r="Z613" s="1156"/>
      <c r="AA613" s="1156"/>
      <c r="AB613" s="1154"/>
      <c r="AC613" s="1155"/>
    </row>
    <row r="614" spans="1:29" ht="22.5" customHeight="1" x14ac:dyDescent="0.25">
      <c r="A614" s="526"/>
      <c r="B614" s="527"/>
      <c r="C614" s="527"/>
      <c r="D614" s="527"/>
      <c r="E614" s="527"/>
      <c r="F614" s="527"/>
      <c r="G614" s="527"/>
      <c r="H614" s="527"/>
      <c r="I614" s="527"/>
      <c r="J614" s="527"/>
      <c r="K614" s="1152"/>
      <c r="L614" s="1156"/>
      <c r="M614" s="1156"/>
      <c r="N614" s="1156"/>
      <c r="O614" s="1156"/>
      <c r="P614" s="1156"/>
      <c r="Q614" s="1156"/>
      <c r="R614" s="1156"/>
      <c r="S614" s="1156"/>
      <c r="T614" s="1156"/>
      <c r="U614" s="1156"/>
      <c r="V614" s="1156"/>
      <c r="W614" s="1156"/>
      <c r="X614" s="1156"/>
      <c r="Y614" s="1156"/>
      <c r="Z614" s="1156"/>
      <c r="AA614" s="1156"/>
      <c r="AB614" s="1154"/>
      <c r="AC614" s="1155"/>
    </row>
    <row r="615" spans="1:29" ht="22.5" customHeight="1" x14ac:dyDescent="0.25">
      <c r="A615" s="526"/>
      <c r="B615" s="527"/>
      <c r="C615" s="527"/>
      <c r="D615" s="527"/>
      <c r="E615" s="527"/>
      <c r="F615" s="527"/>
      <c r="G615" s="527"/>
      <c r="H615" s="527"/>
      <c r="I615" s="527"/>
      <c r="J615" s="527"/>
      <c r="K615" s="1152"/>
      <c r="L615" s="1156"/>
      <c r="M615" s="1156"/>
      <c r="N615" s="1156"/>
      <c r="O615" s="1156"/>
      <c r="P615" s="1156"/>
      <c r="Q615" s="1156"/>
      <c r="R615" s="1156"/>
      <c r="S615" s="1156"/>
      <c r="T615" s="1156"/>
      <c r="U615" s="1156"/>
      <c r="V615" s="1156"/>
      <c r="W615" s="1156"/>
      <c r="X615" s="1156"/>
      <c r="Y615" s="1156"/>
      <c r="Z615" s="1156"/>
      <c r="AA615" s="1156"/>
      <c r="AB615" s="1154"/>
      <c r="AC615" s="1155"/>
    </row>
    <row r="616" spans="1:29" ht="22.5" customHeight="1" x14ac:dyDescent="0.25">
      <c r="A616" s="526"/>
      <c r="B616" s="527"/>
      <c r="C616" s="527"/>
      <c r="D616" s="527"/>
      <c r="E616" s="527"/>
      <c r="F616" s="527"/>
      <c r="G616" s="527"/>
      <c r="H616" s="527"/>
      <c r="I616" s="527"/>
      <c r="J616" s="527"/>
      <c r="K616" s="1152"/>
      <c r="L616" s="1156"/>
      <c r="M616" s="1156"/>
      <c r="N616" s="1156"/>
      <c r="O616" s="1156"/>
      <c r="P616" s="1156"/>
      <c r="Q616" s="1156"/>
      <c r="R616" s="1156"/>
      <c r="S616" s="1156"/>
      <c r="T616" s="1156"/>
      <c r="U616" s="1156"/>
      <c r="V616" s="1156"/>
      <c r="W616" s="1156"/>
      <c r="X616" s="1156"/>
      <c r="Y616" s="1156"/>
      <c r="Z616" s="1156"/>
      <c r="AA616" s="1156"/>
      <c r="AB616" s="1154"/>
      <c r="AC616" s="1155"/>
    </row>
    <row r="617" spans="1:29" ht="22.5" customHeight="1" x14ac:dyDescent="0.25">
      <c r="A617" s="526"/>
      <c r="B617" s="527"/>
      <c r="C617" s="527"/>
      <c r="D617" s="527"/>
      <c r="E617" s="527"/>
      <c r="F617" s="527"/>
      <c r="G617" s="527"/>
      <c r="H617" s="527"/>
      <c r="I617" s="527"/>
      <c r="J617" s="527"/>
      <c r="K617" s="1152"/>
      <c r="L617" s="1156"/>
      <c r="M617" s="1156"/>
      <c r="N617" s="1156"/>
      <c r="O617" s="1156"/>
      <c r="P617" s="1156"/>
      <c r="Q617" s="1156"/>
      <c r="R617" s="1156"/>
      <c r="S617" s="1156"/>
      <c r="T617" s="1156"/>
      <c r="U617" s="1156"/>
      <c r="V617" s="1156"/>
      <c r="W617" s="1156"/>
      <c r="X617" s="1156"/>
      <c r="Y617" s="1156"/>
      <c r="Z617" s="1156"/>
      <c r="AA617" s="1156"/>
      <c r="AB617" s="1154"/>
      <c r="AC617" s="1155"/>
    </row>
    <row r="618" spans="1:29" ht="22.5" customHeight="1" x14ac:dyDescent="0.25">
      <c r="A618" s="526"/>
      <c r="B618" s="527"/>
      <c r="C618" s="527"/>
      <c r="D618" s="527"/>
      <c r="E618" s="527"/>
      <c r="F618" s="527"/>
      <c r="G618" s="527"/>
      <c r="H618" s="527"/>
      <c r="I618" s="527"/>
      <c r="J618" s="527"/>
      <c r="K618" s="1152"/>
      <c r="L618" s="1156"/>
      <c r="M618" s="1156"/>
      <c r="N618" s="1156"/>
      <c r="O618" s="1156"/>
      <c r="P618" s="1156"/>
      <c r="Q618" s="1156"/>
      <c r="R618" s="1156"/>
      <c r="S618" s="1156"/>
      <c r="T618" s="1156"/>
      <c r="U618" s="1156"/>
      <c r="V618" s="1156"/>
      <c r="W618" s="1156"/>
      <c r="X618" s="1156"/>
      <c r="Y618" s="1156"/>
      <c r="Z618" s="1156"/>
      <c r="AA618" s="1156"/>
      <c r="AB618" s="1154"/>
      <c r="AC618" s="1155"/>
    </row>
    <row r="619" spans="1:29" ht="22.5" customHeight="1" x14ac:dyDescent="0.25">
      <c r="A619" s="526"/>
      <c r="B619" s="527"/>
      <c r="C619" s="527"/>
      <c r="D619" s="527"/>
      <c r="E619" s="527"/>
      <c r="F619" s="527"/>
      <c r="G619" s="527"/>
      <c r="H619" s="527"/>
      <c r="I619" s="527"/>
      <c r="J619" s="527"/>
      <c r="K619" s="1152"/>
      <c r="L619" s="1156"/>
      <c r="M619" s="1156"/>
      <c r="N619" s="1156"/>
      <c r="O619" s="1156"/>
      <c r="P619" s="1156"/>
      <c r="Q619" s="1156"/>
      <c r="R619" s="1156"/>
      <c r="S619" s="1156"/>
      <c r="T619" s="1156"/>
      <c r="U619" s="1156"/>
      <c r="V619" s="1156"/>
      <c r="W619" s="1156"/>
      <c r="X619" s="1156"/>
      <c r="Y619" s="1156"/>
      <c r="Z619" s="1156"/>
      <c r="AA619" s="1156"/>
      <c r="AB619" s="1154"/>
      <c r="AC619" s="1155"/>
    </row>
    <row r="620" spans="1:29" ht="22.5" customHeight="1" x14ac:dyDescent="0.25">
      <c r="A620" s="526"/>
      <c r="B620" s="527"/>
      <c r="C620" s="527"/>
      <c r="D620" s="527"/>
      <c r="E620" s="527"/>
      <c r="F620" s="527"/>
      <c r="G620" s="527"/>
      <c r="H620" s="527"/>
      <c r="I620" s="527"/>
      <c r="J620" s="527"/>
      <c r="K620" s="1152"/>
      <c r="L620" s="1156"/>
      <c r="M620" s="1156"/>
      <c r="N620" s="1156"/>
      <c r="O620" s="1156"/>
      <c r="P620" s="1156"/>
      <c r="Q620" s="1156"/>
      <c r="R620" s="1156"/>
      <c r="S620" s="1156"/>
      <c r="T620" s="1156"/>
      <c r="U620" s="1156"/>
      <c r="V620" s="1156"/>
      <c r="W620" s="1156"/>
      <c r="X620" s="1156"/>
      <c r="Y620" s="1156"/>
      <c r="Z620" s="1156"/>
      <c r="AA620" s="1156"/>
      <c r="AB620" s="1154"/>
      <c r="AC620" s="1155"/>
    </row>
    <row r="621" spans="1:29" ht="22.5" customHeight="1" x14ac:dyDescent="0.25">
      <c r="A621" s="526"/>
      <c r="B621" s="527"/>
      <c r="C621" s="527"/>
      <c r="D621" s="527"/>
      <c r="E621" s="527"/>
      <c r="F621" s="527"/>
      <c r="G621" s="527"/>
      <c r="H621" s="527"/>
      <c r="I621" s="527"/>
      <c r="J621" s="527"/>
      <c r="K621" s="1152"/>
      <c r="L621" s="1156"/>
      <c r="M621" s="1156"/>
      <c r="N621" s="1156"/>
      <c r="O621" s="1156"/>
      <c r="P621" s="1156"/>
      <c r="Q621" s="1156"/>
      <c r="R621" s="1156"/>
      <c r="S621" s="1156"/>
      <c r="T621" s="1156"/>
      <c r="U621" s="1156"/>
      <c r="V621" s="1156"/>
      <c r="W621" s="1156"/>
      <c r="X621" s="1156"/>
      <c r="Y621" s="1156"/>
      <c r="Z621" s="1156"/>
      <c r="AA621" s="1156"/>
      <c r="AB621" s="1154"/>
      <c r="AC621" s="1155"/>
    </row>
    <row r="622" spans="1:29" ht="22.5" customHeight="1" x14ac:dyDescent="0.25">
      <c r="A622" s="526"/>
      <c r="B622" s="527"/>
      <c r="C622" s="527"/>
      <c r="D622" s="527"/>
      <c r="E622" s="527"/>
      <c r="F622" s="527"/>
      <c r="G622" s="527"/>
      <c r="H622" s="527"/>
      <c r="I622" s="527"/>
      <c r="J622" s="527"/>
      <c r="K622" s="1152"/>
      <c r="L622" s="1156"/>
      <c r="M622" s="1156"/>
      <c r="N622" s="1156"/>
      <c r="O622" s="1156"/>
      <c r="P622" s="1156"/>
      <c r="Q622" s="1156"/>
      <c r="R622" s="1156"/>
      <c r="S622" s="1156"/>
      <c r="T622" s="1156"/>
      <c r="U622" s="1156"/>
      <c r="V622" s="1156"/>
      <c r="W622" s="1156"/>
      <c r="X622" s="1156"/>
      <c r="Y622" s="1156"/>
      <c r="Z622" s="1156"/>
      <c r="AA622" s="1156"/>
      <c r="AB622" s="1154"/>
      <c r="AC622" s="1155"/>
    </row>
    <row r="623" spans="1:29" ht="22.5" customHeight="1" x14ac:dyDescent="0.25">
      <c r="A623" s="526"/>
      <c r="B623" s="527"/>
      <c r="C623" s="527"/>
      <c r="D623" s="527"/>
      <c r="E623" s="527"/>
      <c r="F623" s="527"/>
      <c r="G623" s="527"/>
      <c r="H623" s="527"/>
      <c r="I623" s="527"/>
      <c r="J623" s="527"/>
      <c r="K623" s="1152"/>
      <c r="L623" s="1156"/>
      <c r="M623" s="1156"/>
      <c r="N623" s="1156"/>
      <c r="O623" s="1156"/>
      <c r="P623" s="1156"/>
      <c r="Q623" s="1156"/>
      <c r="R623" s="1156"/>
      <c r="S623" s="1156"/>
      <c r="T623" s="1156"/>
      <c r="U623" s="1156"/>
      <c r="V623" s="1156"/>
      <c r="W623" s="1156"/>
      <c r="X623" s="1156"/>
      <c r="Y623" s="1156"/>
      <c r="Z623" s="1156"/>
      <c r="AA623" s="1156"/>
      <c r="AB623" s="1154"/>
      <c r="AC623" s="1155"/>
    </row>
    <row r="624" spans="1:29" ht="22.5" customHeight="1" x14ac:dyDescent="0.25">
      <c r="A624" s="526"/>
      <c r="B624" s="527"/>
      <c r="C624" s="527"/>
      <c r="D624" s="527"/>
      <c r="E624" s="527"/>
      <c r="F624" s="527"/>
      <c r="G624" s="527"/>
      <c r="H624" s="527"/>
      <c r="I624" s="527"/>
      <c r="J624" s="527"/>
      <c r="K624" s="1152"/>
      <c r="L624" s="1156"/>
      <c r="M624" s="1156"/>
      <c r="N624" s="1156"/>
      <c r="O624" s="1156"/>
      <c r="P624" s="1156"/>
      <c r="Q624" s="1156"/>
      <c r="R624" s="1156"/>
      <c r="S624" s="1156"/>
      <c r="T624" s="1156"/>
      <c r="U624" s="1156"/>
      <c r="V624" s="1156"/>
      <c r="W624" s="1156"/>
      <c r="X624" s="1156"/>
      <c r="Y624" s="1156"/>
      <c r="Z624" s="1156"/>
      <c r="AA624" s="1156"/>
      <c r="AB624" s="1154"/>
      <c r="AC624" s="1155"/>
    </row>
    <row r="625" spans="1:29" ht="22.5" customHeight="1" x14ac:dyDescent="0.25">
      <c r="A625" s="526"/>
      <c r="B625" s="527"/>
      <c r="C625" s="527"/>
      <c r="D625" s="527"/>
      <c r="E625" s="527"/>
      <c r="F625" s="527"/>
      <c r="G625" s="527"/>
      <c r="H625" s="527"/>
      <c r="I625" s="527"/>
      <c r="J625" s="527"/>
      <c r="K625" s="1152"/>
      <c r="L625" s="1156"/>
      <c r="M625" s="1156"/>
      <c r="N625" s="1156"/>
      <c r="O625" s="1156"/>
      <c r="P625" s="1156"/>
      <c r="Q625" s="1156"/>
      <c r="R625" s="1156"/>
      <c r="S625" s="1156"/>
      <c r="T625" s="1156"/>
      <c r="U625" s="1156"/>
      <c r="V625" s="1156"/>
      <c r="W625" s="1156"/>
      <c r="X625" s="1156"/>
      <c r="Y625" s="1156"/>
      <c r="Z625" s="1156"/>
      <c r="AA625" s="1156"/>
      <c r="AB625" s="1154"/>
      <c r="AC625" s="1155"/>
    </row>
    <row r="626" spans="1:29" ht="22.5" customHeight="1" x14ac:dyDescent="0.25">
      <c r="A626" s="526"/>
      <c r="B626" s="527"/>
      <c r="C626" s="527"/>
      <c r="D626" s="527"/>
      <c r="E626" s="527"/>
      <c r="F626" s="527"/>
      <c r="G626" s="527"/>
      <c r="H626" s="527"/>
      <c r="I626" s="527"/>
      <c r="J626" s="527"/>
      <c r="K626" s="1152"/>
      <c r="L626" s="1156"/>
      <c r="M626" s="1156"/>
      <c r="N626" s="1156"/>
      <c r="O626" s="1156"/>
      <c r="P626" s="1156"/>
      <c r="Q626" s="1156"/>
      <c r="R626" s="1156"/>
      <c r="S626" s="1156"/>
      <c r="T626" s="1156"/>
      <c r="U626" s="1156"/>
      <c r="V626" s="1156"/>
      <c r="W626" s="1156"/>
      <c r="X626" s="1156"/>
      <c r="Y626" s="1156"/>
      <c r="Z626" s="1156"/>
      <c r="AA626" s="1156"/>
      <c r="AB626" s="1154"/>
      <c r="AC626" s="1155"/>
    </row>
    <row r="627" spans="1:29" ht="22.5" customHeight="1" x14ac:dyDescent="0.25">
      <c r="A627" s="526"/>
      <c r="B627" s="527"/>
      <c r="C627" s="527"/>
      <c r="D627" s="527"/>
      <c r="E627" s="527"/>
      <c r="F627" s="527"/>
      <c r="G627" s="527"/>
      <c r="H627" s="527"/>
      <c r="I627" s="527"/>
      <c r="J627" s="527"/>
      <c r="K627" s="1152"/>
      <c r="L627" s="1156"/>
      <c r="M627" s="1156"/>
      <c r="N627" s="1156"/>
      <c r="O627" s="1156"/>
      <c r="P627" s="1156"/>
      <c r="Q627" s="1156"/>
      <c r="R627" s="1156"/>
      <c r="S627" s="1156"/>
      <c r="T627" s="1156"/>
      <c r="U627" s="1156"/>
      <c r="V627" s="1156"/>
      <c r="W627" s="1156"/>
      <c r="X627" s="1156"/>
      <c r="Y627" s="1156"/>
      <c r="Z627" s="1156"/>
      <c r="AA627" s="1156"/>
      <c r="AB627" s="1154"/>
      <c r="AC627" s="1155"/>
    </row>
    <row r="628" spans="1:29" ht="22.5" customHeight="1" x14ac:dyDescent="0.25">
      <c r="A628" s="526"/>
      <c r="B628" s="527"/>
      <c r="C628" s="527"/>
      <c r="D628" s="527"/>
      <c r="E628" s="527"/>
      <c r="F628" s="527"/>
      <c r="G628" s="527"/>
      <c r="H628" s="527"/>
      <c r="I628" s="527"/>
      <c r="J628" s="527"/>
      <c r="K628" s="1152"/>
      <c r="L628" s="1156"/>
      <c r="M628" s="1156"/>
      <c r="N628" s="1156"/>
      <c r="O628" s="1156"/>
      <c r="P628" s="1156"/>
      <c r="Q628" s="1156"/>
      <c r="R628" s="1156"/>
      <c r="S628" s="1156"/>
      <c r="T628" s="1156"/>
      <c r="U628" s="1156"/>
      <c r="V628" s="1156"/>
      <c r="W628" s="1156"/>
      <c r="X628" s="1156"/>
      <c r="Y628" s="1156"/>
      <c r="Z628" s="1156"/>
      <c r="AA628" s="1156"/>
      <c r="AB628" s="1154"/>
      <c r="AC628" s="1155"/>
    </row>
    <row r="629" spans="1:29" ht="22.5" customHeight="1" x14ac:dyDescent="0.25">
      <c r="A629" s="526"/>
      <c r="B629" s="527"/>
      <c r="C629" s="527"/>
      <c r="D629" s="527"/>
      <c r="E629" s="527"/>
      <c r="F629" s="527"/>
      <c r="G629" s="527"/>
      <c r="H629" s="527"/>
      <c r="I629" s="527"/>
      <c r="J629" s="527"/>
      <c r="K629" s="1152"/>
      <c r="L629" s="1156"/>
      <c r="M629" s="1156"/>
      <c r="N629" s="1156"/>
      <c r="O629" s="1156"/>
      <c r="P629" s="1156"/>
      <c r="Q629" s="1156"/>
      <c r="R629" s="1156"/>
      <c r="S629" s="1156"/>
      <c r="T629" s="1156"/>
      <c r="U629" s="1156"/>
      <c r="V629" s="1156"/>
      <c r="W629" s="1156"/>
      <c r="X629" s="1156"/>
      <c r="Y629" s="1156"/>
      <c r="Z629" s="1156"/>
      <c r="AA629" s="1156"/>
      <c r="AB629" s="1154"/>
      <c r="AC629" s="1155"/>
    </row>
    <row r="630" spans="1:29" ht="22.5" customHeight="1" x14ac:dyDescent="0.25">
      <c r="A630" s="526"/>
      <c r="B630" s="527"/>
      <c r="C630" s="527"/>
      <c r="D630" s="527"/>
      <c r="E630" s="527"/>
      <c r="F630" s="527"/>
      <c r="G630" s="527"/>
      <c r="H630" s="527"/>
      <c r="I630" s="527"/>
      <c r="J630" s="527"/>
      <c r="K630" s="1152"/>
      <c r="L630" s="1156"/>
      <c r="M630" s="1156"/>
      <c r="N630" s="1156"/>
      <c r="O630" s="1156"/>
      <c r="P630" s="1156"/>
      <c r="Q630" s="1156"/>
      <c r="R630" s="1156"/>
      <c r="S630" s="1156"/>
      <c r="T630" s="1156"/>
      <c r="U630" s="1156"/>
      <c r="V630" s="1156"/>
      <c r="W630" s="1156"/>
      <c r="X630" s="1156"/>
      <c r="Y630" s="1156"/>
      <c r="Z630" s="1156"/>
      <c r="AA630" s="1156"/>
      <c r="AB630" s="1154"/>
      <c r="AC630" s="1155"/>
    </row>
    <row r="631" spans="1:29" ht="22.5" customHeight="1" x14ac:dyDescent="0.25">
      <c r="A631" s="526"/>
      <c r="B631" s="527"/>
      <c r="C631" s="527"/>
      <c r="D631" s="527"/>
      <c r="E631" s="527"/>
      <c r="F631" s="527"/>
      <c r="G631" s="527"/>
      <c r="H631" s="527"/>
      <c r="I631" s="527"/>
      <c r="J631" s="527"/>
      <c r="K631" s="1152"/>
      <c r="L631" s="1156"/>
      <c r="M631" s="1156"/>
      <c r="N631" s="1156"/>
      <c r="O631" s="1156"/>
      <c r="P631" s="1156"/>
      <c r="Q631" s="1156"/>
      <c r="R631" s="1156"/>
      <c r="S631" s="1156"/>
      <c r="T631" s="1156"/>
      <c r="U631" s="1156"/>
      <c r="V631" s="1156"/>
      <c r="W631" s="1156"/>
      <c r="X631" s="1156"/>
      <c r="Y631" s="1156"/>
      <c r="Z631" s="1156"/>
      <c r="AA631" s="1156"/>
      <c r="AB631" s="1154"/>
      <c r="AC631" s="1155"/>
    </row>
    <row r="632" spans="1:29" ht="22.5" customHeight="1" x14ac:dyDescent="0.25">
      <c r="A632" s="526"/>
      <c r="B632" s="527"/>
      <c r="C632" s="527"/>
      <c r="D632" s="527"/>
      <c r="E632" s="527"/>
      <c r="F632" s="527"/>
      <c r="G632" s="527"/>
      <c r="H632" s="527"/>
      <c r="I632" s="527"/>
      <c r="J632" s="527"/>
      <c r="K632" s="1152"/>
      <c r="L632" s="1156"/>
      <c r="M632" s="1156"/>
      <c r="N632" s="1156"/>
      <c r="O632" s="1156"/>
      <c r="P632" s="1156"/>
      <c r="Q632" s="1156"/>
      <c r="R632" s="1156"/>
      <c r="S632" s="1156"/>
      <c r="T632" s="1156"/>
      <c r="U632" s="1156"/>
      <c r="V632" s="1156"/>
      <c r="W632" s="1156"/>
      <c r="X632" s="1156"/>
      <c r="Y632" s="1156"/>
      <c r="Z632" s="1156"/>
      <c r="AA632" s="1156"/>
      <c r="AB632" s="1154"/>
      <c r="AC632" s="1155"/>
    </row>
    <row r="633" spans="1:29" ht="22.5" customHeight="1" x14ac:dyDescent="0.25">
      <c r="A633" s="526"/>
      <c r="B633" s="527"/>
      <c r="C633" s="527"/>
      <c r="D633" s="527"/>
      <c r="E633" s="527"/>
      <c r="F633" s="527"/>
      <c r="G633" s="527"/>
      <c r="H633" s="527"/>
      <c r="I633" s="527"/>
      <c r="J633" s="527"/>
      <c r="K633" s="1152"/>
      <c r="L633" s="1156"/>
      <c r="M633" s="1156"/>
      <c r="N633" s="1156"/>
      <c r="O633" s="1156"/>
      <c r="P633" s="1156"/>
      <c r="Q633" s="1156"/>
      <c r="R633" s="1156"/>
      <c r="S633" s="1156"/>
      <c r="T633" s="1156"/>
      <c r="U633" s="1156"/>
      <c r="V633" s="1156"/>
      <c r="W633" s="1156"/>
      <c r="X633" s="1156"/>
      <c r="Y633" s="1156"/>
      <c r="Z633" s="1156"/>
      <c r="AA633" s="1156"/>
      <c r="AB633" s="1154"/>
      <c r="AC633" s="1155"/>
    </row>
    <row r="634" spans="1:29" ht="22.5" customHeight="1" x14ac:dyDescent="0.25">
      <c r="A634" s="526"/>
      <c r="B634" s="527"/>
      <c r="C634" s="527"/>
      <c r="D634" s="527"/>
      <c r="E634" s="527"/>
      <c r="F634" s="527"/>
      <c r="G634" s="527"/>
      <c r="H634" s="527"/>
      <c r="I634" s="527"/>
      <c r="J634" s="527"/>
      <c r="K634" s="1152"/>
      <c r="L634" s="1156"/>
      <c r="M634" s="1156"/>
      <c r="N634" s="1156"/>
      <c r="O634" s="1156"/>
      <c r="P634" s="1156"/>
      <c r="Q634" s="1156"/>
      <c r="R634" s="1156"/>
      <c r="S634" s="1156"/>
      <c r="T634" s="1156"/>
      <c r="U634" s="1156"/>
      <c r="V634" s="1156"/>
      <c r="W634" s="1156"/>
      <c r="X634" s="1156"/>
      <c r="Y634" s="1156"/>
      <c r="Z634" s="1156"/>
      <c r="AA634" s="1156"/>
      <c r="AB634" s="1154"/>
      <c r="AC634" s="1155"/>
    </row>
    <row r="635" spans="1:29" ht="22.5" customHeight="1" x14ac:dyDescent="0.25">
      <c r="A635" s="526"/>
      <c r="B635" s="527"/>
      <c r="C635" s="527"/>
      <c r="D635" s="527"/>
      <c r="E635" s="527"/>
      <c r="F635" s="527"/>
      <c r="G635" s="527"/>
      <c r="H635" s="527"/>
      <c r="I635" s="527"/>
      <c r="J635" s="527"/>
      <c r="K635" s="1152"/>
      <c r="L635" s="1156"/>
      <c r="M635" s="1156"/>
      <c r="N635" s="1156"/>
      <c r="O635" s="1156"/>
      <c r="P635" s="1156"/>
      <c r="Q635" s="1156"/>
      <c r="R635" s="1156"/>
      <c r="S635" s="1156"/>
      <c r="T635" s="1156"/>
      <c r="U635" s="1156"/>
      <c r="V635" s="1156"/>
      <c r="W635" s="1156"/>
      <c r="X635" s="1156"/>
      <c r="Y635" s="1156"/>
      <c r="Z635" s="1156"/>
      <c r="AA635" s="1156"/>
      <c r="AB635" s="1154"/>
      <c r="AC635" s="1155"/>
    </row>
    <row r="636" spans="1:29" ht="22.5" customHeight="1" x14ac:dyDescent="0.25">
      <c r="A636" s="526"/>
      <c r="B636" s="527"/>
      <c r="C636" s="527"/>
      <c r="D636" s="527"/>
      <c r="E636" s="527"/>
      <c r="F636" s="527"/>
      <c r="G636" s="527"/>
      <c r="H636" s="527"/>
      <c r="I636" s="527"/>
      <c r="J636" s="527"/>
      <c r="K636" s="1152"/>
      <c r="L636" s="1156"/>
      <c r="M636" s="1156"/>
      <c r="N636" s="1156"/>
      <c r="O636" s="1156"/>
      <c r="P636" s="1156"/>
      <c r="Q636" s="1156"/>
      <c r="R636" s="1156"/>
      <c r="S636" s="1156"/>
      <c r="T636" s="1156"/>
      <c r="U636" s="1156"/>
      <c r="V636" s="1156"/>
      <c r="W636" s="1156"/>
      <c r="X636" s="1156"/>
      <c r="Y636" s="1156"/>
      <c r="Z636" s="1156"/>
      <c r="AA636" s="1156"/>
      <c r="AB636" s="1154"/>
      <c r="AC636" s="1155"/>
    </row>
    <row r="637" spans="1:29" ht="22.5" customHeight="1" x14ac:dyDescent="0.25">
      <c r="A637" s="526"/>
      <c r="B637" s="527"/>
      <c r="C637" s="527"/>
      <c r="D637" s="527"/>
      <c r="E637" s="527"/>
      <c r="F637" s="527"/>
      <c r="G637" s="527"/>
      <c r="H637" s="527"/>
      <c r="I637" s="527"/>
      <c r="J637" s="527"/>
      <c r="K637" s="1152"/>
      <c r="L637" s="1156"/>
      <c r="M637" s="1156"/>
      <c r="N637" s="1156"/>
      <c r="O637" s="1156"/>
      <c r="P637" s="1156"/>
      <c r="Q637" s="1156"/>
      <c r="R637" s="1156"/>
      <c r="S637" s="1156"/>
      <c r="T637" s="1156"/>
      <c r="U637" s="1156"/>
      <c r="V637" s="1156"/>
      <c r="W637" s="1156"/>
      <c r="X637" s="1156"/>
      <c r="Y637" s="1156"/>
      <c r="Z637" s="1156"/>
      <c r="AA637" s="1156"/>
      <c r="AB637" s="1154"/>
      <c r="AC637" s="1155"/>
    </row>
    <row r="638" spans="1:29" ht="22.5" customHeight="1" x14ac:dyDescent="0.25">
      <c r="A638" s="526"/>
      <c r="B638" s="527"/>
      <c r="C638" s="527"/>
      <c r="D638" s="527"/>
      <c r="E638" s="527"/>
      <c r="F638" s="527"/>
      <c r="G638" s="527"/>
      <c r="H638" s="527"/>
      <c r="I638" s="527"/>
      <c r="J638" s="527"/>
      <c r="K638" s="1152"/>
      <c r="L638" s="1156"/>
      <c r="M638" s="1156"/>
      <c r="N638" s="1156"/>
      <c r="O638" s="1156"/>
      <c r="P638" s="1156"/>
      <c r="Q638" s="1156"/>
      <c r="R638" s="1156"/>
      <c r="S638" s="1156"/>
      <c r="T638" s="1156"/>
      <c r="U638" s="1156"/>
      <c r="V638" s="1156"/>
      <c r="W638" s="1156"/>
      <c r="X638" s="1156"/>
      <c r="Y638" s="1156"/>
      <c r="Z638" s="1156"/>
      <c r="AA638" s="1156"/>
      <c r="AB638" s="1154"/>
      <c r="AC638" s="1155"/>
    </row>
    <row r="639" spans="1:29" ht="22.5" customHeight="1" x14ac:dyDescent="0.25">
      <c r="A639" s="526"/>
      <c r="B639" s="527"/>
      <c r="C639" s="527"/>
      <c r="D639" s="527"/>
      <c r="E639" s="527"/>
      <c r="F639" s="527"/>
      <c r="G639" s="527"/>
      <c r="H639" s="527"/>
      <c r="I639" s="527"/>
      <c r="J639" s="527"/>
      <c r="K639" s="1152"/>
      <c r="L639" s="1156"/>
      <c r="M639" s="1156"/>
      <c r="N639" s="1156"/>
      <c r="O639" s="1156"/>
      <c r="P639" s="1156"/>
      <c r="Q639" s="1156"/>
      <c r="R639" s="1156"/>
      <c r="S639" s="1156"/>
      <c r="T639" s="1156"/>
      <c r="U639" s="1156"/>
      <c r="V639" s="1156"/>
      <c r="W639" s="1156"/>
      <c r="X639" s="1156"/>
      <c r="Y639" s="1156"/>
      <c r="Z639" s="1156"/>
      <c r="AA639" s="1156"/>
      <c r="AB639" s="1154"/>
      <c r="AC639" s="1155"/>
    </row>
    <row r="640" spans="1:29" ht="22.5" customHeight="1" x14ac:dyDescent="0.25">
      <c r="A640" s="526"/>
      <c r="B640" s="527"/>
      <c r="C640" s="527"/>
      <c r="D640" s="527"/>
      <c r="E640" s="527"/>
      <c r="F640" s="527"/>
      <c r="G640" s="527"/>
      <c r="H640" s="527"/>
      <c r="I640" s="527"/>
      <c r="J640" s="527"/>
      <c r="K640" s="1152"/>
      <c r="L640" s="1156"/>
      <c r="M640" s="1156"/>
      <c r="N640" s="1156"/>
      <c r="O640" s="1156"/>
      <c r="P640" s="1156"/>
      <c r="Q640" s="1156"/>
      <c r="R640" s="1156"/>
      <c r="S640" s="1156"/>
      <c r="T640" s="1156"/>
      <c r="U640" s="1156"/>
      <c r="V640" s="1156"/>
      <c r="W640" s="1156"/>
      <c r="X640" s="1156"/>
      <c r="Y640" s="1156"/>
      <c r="Z640" s="1156"/>
      <c r="AA640" s="1156"/>
      <c r="AB640" s="1154"/>
      <c r="AC640" s="1155"/>
    </row>
    <row r="641" spans="1:29" ht="22.5" customHeight="1" x14ac:dyDescent="0.25">
      <c r="A641" s="526"/>
      <c r="B641" s="527"/>
      <c r="C641" s="527"/>
      <c r="D641" s="527"/>
      <c r="E641" s="527"/>
      <c r="F641" s="527"/>
      <c r="G641" s="527"/>
      <c r="H641" s="527"/>
      <c r="I641" s="527"/>
      <c r="J641" s="527"/>
      <c r="K641" s="1152"/>
      <c r="L641" s="1156"/>
      <c r="M641" s="1156"/>
      <c r="N641" s="1156"/>
      <c r="O641" s="1156"/>
      <c r="P641" s="1156"/>
      <c r="Q641" s="1156"/>
      <c r="R641" s="1156"/>
      <c r="S641" s="1156"/>
      <c r="T641" s="1156"/>
      <c r="U641" s="1156"/>
      <c r="V641" s="1156"/>
      <c r="W641" s="1156"/>
      <c r="X641" s="1156"/>
      <c r="Y641" s="1156"/>
      <c r="Z641" s="1156"/>
      <c r="AA641" s="1156"/>
      <c r="AB641" s="1154"/>
      <c r="AC641" s="1155"/>
    </row>
    <row r="642" spans="1:29" ht="22.5" customHeight="1" x14ac:dyDescent="0.25">
      <c r="A642" s="526"/>
      <c r="B642" s="527"/>
      <c r="C642" s="527"/>
      <c r="D642" s="527"/>
      <c r="E642" s="527"/>
      <c r="F642" s="527"/>
      <c r="G642" s="527"/>
      <c r="H642" s="527"/>
      <c r="I642" s="527"/>
      <c r="J642" s="527"/>
      <c r="K642" s="1152"/>
      <c r="L642" s="1156"/>
      <c r="M642" s="1156"/>
      <c r="N642" s="1156"/>
      <c r="O642" s="1156"/>
      <c r="P642" s="1156"/>
      <c r="Q642" s="1156"/>
      <c r="R642" s="1156"/>
      <c r="S642" s="1156"/>
      <c r="T642" s="1156"/>
      <c r="U642" s="1156"/>
      <c r="V642" s="1156"/>
      <c r="W642" s="1156"/>
      <c r="X642" s="1156"/>
      <c r="Y642" s="1156"/>
      <c r="Z642" s="1156"/>
      <c r="AA642" s="1156"/>
      <c r="AB642" s="1154"/>
      <c r="AC642" s="1155"/>
    </row>
    <row r="643" spans="1:29" ht="22.5" customHeight="1" x14ac:dyDescent="0.25">
      <c r="A643" s="526"/>
      <c r="B643" s="527"/>
      <c r="C643" s="527"/>
      <c r="D643" s="527"/>
      <c r="E643" s="527"/>
      <c r="F643" s="527"/>
      <c r="G643" s="527"/>
      <c r="H643" s="527"/>
      <c r="I643" s="527"/>
      <c r="J643" s="527"/>
      <c r="K643" s="1152"/>
      <c r="L643" s="1156"/>
      <c r="M643" s="1156"/>
      <c r="N643" s="1156"/>
      <c r="O643" s="1156"/>
      <c r="P643" s="1156"/>
      <c r="Q643" s="1156"/>
      <c r="R643" s="1156"/>
      <c r="S643" s="1156"/>
      <c r="T643" s="1156"/>
      <c r="U643" s="1156"/>
      <c r="V643" s="1156"/>
      <c r="W643" s="1156"/>
      <c r="X643" s="1156"/>
      <c r="Y643" s="1156"/>
      <c r="Z643" s="1156"/>
      <c r="AA643" s="1156"/>
      <c r="AB643" s="1154"/>
      <c r="AC643" s="1155"/>
    </row>
    <row r="644" spans="1:29" ht="22.5" customHeight="1" x14ac:dyDescent="0.25">
      <c r="A644" s="526"/>
      <c r="B644" s="527"/>
      <c r="C644" s="527"/>
      <c r="D644" s="527"/>
      <c r="E644" s="527"/>
      <c r="F644" s="527"/>
      <c r="G644" s="527"/>
      <c r="H644" s="527"/>
      <c r="I644" s="527"/>
      <c r="J644" s="527"/>
      <c r="K644" s="1152"/>
      <c r="L644" s="1156"/>
      <c r="M644" s="1156"/>
      <c r="N644" s="1156"/>
      <c r="O644" s="1156"/>
      <c r="P644" s="1156"/>
      <c r="Q644" s="1156"/>
      <c r="R644" s="1156"/>
      <c r="S644" s="1156"/>
      <c r="T644" s="1156"/>
      <c r="U644" s="1156"/>
      <c r="V644" s="1156"/>
      <c r="W644" s="1156"/>
      <c r="X644" s="1156"/>
      <c r="Y644" s="1156"/>
      <c r="Z644" s="1156"/>
      <c r="AA644" s="1156"/>
      <c r="AB644" s="1154"/>
      <c r="AC644" s="1155"/>
    </row>
    <row r="645" spans="1:29" ht="22.5" customHeight="1" x14ac:dyDescent="0.25">
      <c r="A645" s="526"/>
      <c r="B645" s="527"/>
      <c r="C645" s="527"/>
      <c r="D645" s="527"/>
      <c r="E645" s="527"/>
      <c r="F645" s="527"/>
      <c r="G645" s="527"/>
      <c r="H645" s="527"/>
      <c r="I645" s="527"/>
      <c r="J645" s="527"/>
      <c r="K645" s="1152"/>
      <c r="L645" s="1156"/>
      <c r="M645" s="1156"/>
      <c r="N645" s="1156"/>
      <c r="O645" s="1156"/>
      <c r="P645" s="1156"/>
      <c r="Q645" s="1156"/>
      <c r="R645" s="1156"/>
      <c r="S645" s="1156"/>
      <c r="T645" s="1156"/>
      <c r="U645" s="1156"/>
      <c r="V645" s="1156"/>
      <c r="W645" s="1156"/>
      <c r="X645" s="1156"/>
      <c r="Y645" s="1156"/>
      <c r="Z645" s="1156"/>
      <c r="AA645" s="1156"/>
      <c r="AB645" s="1154"/>
      <c r="AC645" s="1155"/>
    </row>
    <row r="646" spans="1:29" ht="22.5" customHeight="1" x14ac:dyDescent="0.25">
      <c r="A646" s="526"/>
      <c r="B646" s="527"/>
      <c r="C646" s="527"/>
      <c r="D646" s="527"/>
      <c r="E646" s="527"/>
      <c r="F646" s="527"/>
      <c r="G646" s="527"/>
      <c r="H646" s="527"/>
      <c r="I646" s="527"/>
      <c r="J646" s="527"/>
      <c r="K646" s="1152"/>
      <c r="L646" s="1156"/>
      <c r="M646" s="1156"/>
      <c r="N646" s="1156"/>
      <c r="O646" s="1156"/>
      <c r="P646" s="1156"/>
      <c r="Q646" s="1156"/>
      <c r="R646" s="1156"/>
      <c r="S646" s="1156"/>
      <c r="T646" s="1156"/>
      <c r="U646" s="1156"/>
      <c r="V646" s="1156"/>
      <c r="W646" s="1156"/>
      <c r="X646" s="1156"/>
      <c r="Y646" s="1156"/>
      <c r="Z646" s="1156"/>
      <c r="AA646" s="1156"/>
      <c r="AB646" s="1154"/>
      <c r="AC646" s="1155"/>
    </row>
    <row r="647" spans="1:29" ht="22.5" customHeight="1" x14ac:dyDescent="0.25">
      <c r="A647" s="526"/>
      <c r="B647" s="527"/>
      <c r="C647" s="527"/>
      <c r="D647" s="527"/>
      <c r="E647" s="527"/>
      <c r="F647" s="527"/>
      <c r="G647" s="527"/>
      <c r="H647" s="527"/>
      <c r="I647" s="527"/>
      <c r="J647" s="527"/>
      <c r="K647" s="1152"/>
      <c r="L647" s="1156"/>
      <c r="M647" s="1156"/>
      <c r="N647" s="1156"/>
      <c r="O647" s="1156"/>
      <c r="P647" s="1156"/>
      <c r="Q647" s="1156"/>
      <c r="R647" s="1156"/>
      <c r="S647" s="1156"/>
      <c r="T647" s="1156"/>
      <c r="U647" s="1156"/>
      <c r="V647" s="1156"/>
      <c r="W647" s="1156"/>
      <c r="X647" s="1156"/>
      <c r="Y647" s="1156"/>
      <c r="Z647" s="1156"/>
      <c r="AA647" s="1156"/>
      <c r="AB647" s="1154"/>
      <c r="AC647" s="1155"/>
    </row>
    <row r="648" spans="1:29" ht="22.5" customHeight="1" x14ac:dyDescent="0.25">
      <c r="A648" s="526"/>
      <c r="B648" s="527"/>
      <c r="C648" s="527"/>
      <c r="D648" s="527"/>
      <c r="E648" s="527"/>
      <c r="F648" s="527"/>
      <c r="G648" s="527"/>
      <c r="H648" s="527"/>
      <c r="I648" s="527"/>
      <c r="J648" s="527"/>
      <c r="K648" s="1152"/>
      <c r="L648" s="1156"/>
      <c r="M648" s="1156"/>
      <c r="N648" s="1156"/>
      <c r="O648" s="1156"/>
      <c r="P648" s="1156"/>
      <c r="Q648" s="1156"/>
      <c r="R648" s="1156"/>
      <c r="S648" s="1156"/>
      <c r="T648" s="1156"/>
      <c r="U648" s="1156"/>
      <c r="V648" s="1156"/>
      <c r="W648" s="1156"/>
      <c r="X648" s="1156"/>
      <c r="Y648" s="1156"/>
      <c r="Z648" s="1156"/>
      <c r="AA648" s="1156"/>
      <c r="AB648" s="1154"/>
      <c r="AC648" s="1155"/>
    </row>
    <row r="649" spans="1:29" ht="22.5" customHeight="1" x14ac:dyDescent="0.25">
      <c r="A649" s="526"/>
      <c r="B649" s="527"/>
      <c r="C649" s="527"/>
      <c r="D649" s="527"/>
      <c r="E649" s="527"/>
      <c r="F649" s="527"/>
      <c r="G649" s="527"/>
      <c r="H649" s="527"/>
      <c r="I649" s="527"/>
      <c r="J649" s="527"/>
      <c r="K649" s="1152"/>
      <c r="L649" s="1156"/>
      <c r="M649" s="1156"/>
      <c r="N649" s="1156"/>
      <c r="O649" s="1156"/>
      <c r="P649" s="1156"/>
      <c r="Q649" s="1156"/>
      <c r="R649" s="1156"/>
      <c r="S649" s="1156"/>
      <c r="T649" s="1156"/>
      <c r="U649" s="1156"/>
      <c r="V649" s="1156"/>
      <c r="W649" s="1156"/>
      <c r="X649" s="1156"/>
      <c r="Y649" s="1156"/>
      <c r="Z649" s="1156"/>
      <c r="AA649" s="1156"/>
      <c r="AB649" s="1154"/>
      <c r="AC649" s="1155"/>
    </row>
    <row r="650" spans="1:29" ht="22.5" customHeight="1" x14ac:dyDescent="0.25">
      <c r="A650" s="527"/>
      <c r="B650" s="527"/>
      <c r="C650" s="527"/>
      <c r="D650" s="527"/>
      <c r="E650" s="527"/>
      <c r="F650" s="527"/>
      <c r="G650" s="527"/>
      <c r="H650" s="527"/>
      <c r="I650" s="527"/>
      <c r="J650" s="527"/>
      <c r="K650" s="1152"/>
      <c r="L650" s="1156"/>
      <c r="M650" s="1156"/>
      <c r="N650" s="1156"/>
      <c r="O650" s="1156"/>
      <c r="P650" s="1156"/>
      <c r="Q650" s="1156"/>
      <c r="R650" s="1156"/>
      <c r="S650" s="1156"/>
      <c r="T650" s="1156"/>
      <c r="U650" s="1156"/>
      <c r="V650" s="1156"/>
      <c r="W650" s="1156"/>
      <c r="X650" s="1156"/>
      <c r="Y650" s="1156"/>
      <c r="Z650" s="1156"/>
      <c r="AA650" s="1156"/>
      <c r="AB650" s="1154"/>
      <c r="AC650" s="1155"/>
    </row>
    <row r="651" spans="1:29" ht="22.5" customHeight="1" x14ac:dyDescent="0.25">
      <c r="A651" s="526"/>
      <c r="B651" s="527"/>
      <c r="C651" s="527"/>
      <c r="D651" s="527"/>
      <c r="E651" s="527"/>
      <c r="F651" s="527"/>
      <c r="G651" s="527"/>
      <c r="H651" s="527"/>
      <c r="I651" s="527"/>
      <c r="J651" s="527"/>
      <c r="K651" s="1152"/>
      <c r="L651" s="1156"/>
      <c r="M651" s="1156"/>
      <c r="N651" s="1156"/>
      <c r="O651" s="1156"/>
      <c r="P651" s="1156"/>
      <c r="Q651" s="1156"/>
      <c r="R651" s="1156"/>
      <c r="S651" s="1156"/>
      <c r="T651" s="1156"/>
      <c r="U651" s="1156"/>
      <c r="V651" s="1156"/>
      <c r="W651" s="1156"/>
      <c r="X651" s="1156"/>
      <c r="Y651" s="1156"/>
      <c r="Z651" s="1156"/>
      <c r="AA651" s="1156"/>
      <c r="AB651" s="1154"/>
      <c r="AC651" s="1155"/>
    </row>
    <row r="652" spans="1:29" ht="22.5" customHeight="1" x14ac:dyDescent="0.25">
      <c r="A652" s="526"/>
      <c r="B652" s="527"/>
      <c r="C652" s="527"/>
      <c r="D652" s="527"/>
      <c r="E652" s="527"/>
      <c r="F652" s="527"/>
      <c r="G652" s="527"/>
      <c r="H652" s="527"/>
      <c r="I652" s="527"/>
      <c r="J652" s="527"/>
      <c r="K652" s="1152"/>
      <c r="L652" s="1156"/>
      <c r="M652" s="1156"/>
      <c r="N652" s="1156"/>
      <c r="O652" s="1156"/>
      <c r="P652" s="1156"/>
      <c r="Q652" s="1156"/>
      <c r="R652" s="1156"/>
      <c r="S652" s="1156"/>
      <c r="T652" s="1156"/>
      <c r="U652" s="1156"/>
      <c r="V652" s="1156"/>
      <c r="W652" s="1156"/>
      <c r="X652" s="1156"/>
      <c r="Y652" s="1156"/>
      <c r="Z652" s="1156"/>
      <c r="AA652" s="1156"/>
      <c r="AB652" s="1154"/>
      <c r="AC652" s="1155"/>
    </row>
    <row r="653" spans="1:29" ht="22.5" customHeight="1" x14ac:dyDescent="0.25">
      <c r="A653" s="526"/>
      <c r="B653" s="527"/>
      <c r="C653" s="527"/>
      <c r="D653" s="527"/>
      <c r="E653" s="527"/>
      <c r="F653" s="527"/>
      <c r="G653" s="527"/>
      <c r="H653" s="527"/>
      <c r="I653" s="527"/>
      <c r="J653" s="527"/>
      <c r="K653" s="1152"/>
      <c r="L653" s="1156"/>
      <c r="M653" s="1156"/>
      <c r="N653" s="1156"/>
      <c r="O653" s="1156"/>
      <c r="P653" s="1156"/>
      <c r="Q653" s="1156"/>
      <c r="R653" s="1156"/>
      <c r="S653" s="1156"/>
      <c r="T653" s="1156"/>
      <c r="U653" s="1156"/>
      <c r="V653" s="1156"/>
      <c r="W653" s="1156"/>
      <c r="X653" s="1156"/>
      <c r="Y653" s="1156"/>
      <c r="Z653" s="1156"/>
      <c r="AA653" s="1156"/>
      <c r="AB653" s="1154"/>
      <c r="AC653" s="1155"/>
    </row>
    <row r="654" spans="1:29" ht="22.5" customHeight="1" x14ac:dyDescent="0.25">
      <c r="A654" s="526"/>
      <c r="B654" s="527"/>
      <c r="C654" s="527"/>
      <c r="D654" s="527"/>
      <c r="E654" s="527"/>
      <c r="F654" s="527"/>
      <c r="G654" s="527"/>
      <c r="H654" s="527"/>
      <c r="I654" s="527"/>
      <c r="J654" s="527"/>
      <c r="K654" s="1152"/>
      <c r="L654" s="1156"/>
      <c r="M654" s="1156"/>
      <c r="N654" s="1156"/>
      <c r="O654" s="1156"/>
      <c r="P654" s="1156"/>
      <c r="Q654" s="1156"/>
      <c r="R654" s="1156"/>
      <c r="S654" s="1156"/>
      <c r="T654" s="1156"/>
      <c r="U654" s="1156"/>
      <c r="V654" s="1156"/>
      <c r="W654" s="1156"/>
      <c r="X654" s="1156"/>
      <c r="Y654" s="1156"/>
      <c r="Z654" s="1156"/>
      <c r="AA654" s="1156"/>
      <c r="AB654" s="1154"/>
      <c r="AC654" s="1155"/>
    </row>
    <row r="655" spans="1:29" ht="22.5" customHeight="1" x14ac:dyDescent="0.25">
      <c r="A655" s="526"/>
      <c r="B655" s="527"/>
      <c r="C655" s="527"/>
      <c r="D655" s="527"/>
      <c r="E655" s="527"/>
      <c r="F655" s="527"/>
      <c r="G655" s="527"/>
      <c r="H655" s="527"/>
      <c r="I655" s="527"/>
      <c r="J655" s="527"/>
      <c r="K655" s="1152"/>
      <c r="L655" s="1156"/>
      <c r="M655" s="1156"/>
      <c r="N655" s="1156"/>
      <c r="O655" s="1156"/>
      <c r="P655" s="1156"/>
      <c r="Q655" s="1156"/>
      <c r="R655" s="1156"/>
      <c r="S655" s="1156"/>
      <c r="T655" s="1156"/>
      <c r="U655" s="1156"/>
      <c r="V655" s="1156"/>
      <c r="W655" s="1156"/>
      <c r="X655" s="1156"/>
      <c r="Y655" s="1156"/>
      <c r="Z655" s="1156"/>
      <c r="AA655" s="1156"/>
      <c r="AB655" s="1154"/>
      <c r="AC655" s="1155"/>
    </row>
    <row r="656" spans="1:29" ht="22.5" customHeight="1" x14ac:dyDescent="0.25">
      <c r="A656" s="526"/>
      <c r="B656" s="527"/>
      <c r="C656" s="527"/>
      <c r="D656" s="527"/>
      <c r="E656" s="527"/>
      <c r="F656" s="527"/>
      <c r="G656" s="527"/>
      <c r="H656" s="527"/>
      <c r="I656" s="527"/>
      <c r="J656" s="527"/>
      <c r="K656" s="1152"/>
      <c r="L656" s="1156"/>
      <c r="M656" s="1156"/>
      <c r="N656" s="1156"/>
      <c r="O656" s="1156"/>
      <c r="P656" s="1156"/>
      <c r="Q656" s="1156"/>
      <c r="R656" s="1156"/>
      <c r="S656" s="1156"/>
      <c r="T656" s="1156"/>
      <c r="U656" s="1156"/>
      <c r="V656" s="1156"/>
      <c r="W656" s="1156"/>
      <c r="X656" s="1156"/>
      <c r="Y656" s="1156"/>
      <c r="Z656" s="1156"/>
      <c r="AA656" s="1156"/>
      <c r="AB656" s="1154"/>
      <c r="AC656" s="1155"/>
    </row>
    <row r="657" spans="1:29" ht="22.5" customHeight="1" x14ac:dyDescent="0.25">
      <c r="A657" s="526"/>
      <c r="B657" s="527"/>
      <c r="C657" s="527"/>
      <c r="D657" s="527"/>
      <c r="E657" s="527"/>
      <c r="F657" s="527"/>
      <c r="G657" s="527"/>
      <c r="H657" s="527"/>
      <c r="I657" s="527"/>
      <c r="J657" s="527"/>
      <c r="K657" s="1152"/>
      <c r="L657" s="1156"/>
      <c r="M657" s="1156"/>
      <c r="N657" s="1156"/>
      <c r="O657" s="1156"/>
      <c r="P657" s="1156"/>
      <c r="Q657" s="1156"/>
      <c r="R657" s="1156"/>
      <c r="S657" s="1156"/>
      <c r="T657" s="1156"/>
      <c r="U657" s="1156"/>
      <c r="V657" s="1156"/>
      <c r="W657" s="1156"/>
      <c r="X657" s="1156"/>
      <c r="Y657" s="1156"/>
      <c r="Z657" s="1156"/>
      <c r="AA657" s="1156"/>
      <c r="AB657" s="1154"/>
      <c r="AC657" s="1155"/>
    </row>
    <row r="658" spans="1:29" ht="22.5" customHeight="1" x14ac:dyDescent="0.25">
      <c r="A658" s="526"/>
      <c r="B658" s="527"/>
      <c r="C658" s="527"/>
      <c r="D658" s="527"/>
      <c r="E658" s="527"/>
      <c r="F658" s="527"/>
      <c r="G658" s="527"/>
      <c r="H658" s="527"/>
      <c r="I658" s="527"/>
      <c r="J658" s="527"/>
      <c r="K658" s="1152"/>
      <c r="L658" s="1156"/>
      <c r="M658" s="1156"/>
      <c r="N658" s="1156"/>
      <c r="O658" s="1156"/>
      <c r="P658" s="1156"/>
      <c r="Q658" s="1156"/>
      <c r="R658" s="1156"/>
      <c r="S658" s="1156"/>
      <c r="T658" s="1156"/>
      <c r="U658" s="1156"/>
      <c r="V658" s="1156"/>
      <c r="W658" s="1156"/>
      <c r="X658" s="1156"/>
      <c r="Y658" s="1156"/>
      <c r="Z658" s="1156"/>
      <c r="AA658" s="1156"/>
      <c r="AB658" s="1154"/>
      <c r="AC658" s="1155"/>
    </row>
    <row r="659" spans="1:29" ht="22.5" customHeight="1" x14ac:dyDescent="0.25">
      <c r="A659" s="526"/>
      <c r="B659" s="527"/>
      <c r="C659" s="527"/>
      <c r="D659" s="527"/>
      <c r="E659" s="527"/>
      <c r="F659" s="527"/>
      <c r="G659" s="527"/>
      <c r="H659" s="527"/>
      <c r="I659" s="527"/>
      <c r="J659" s="527"/>
      <c r="K659" s="1152"/>
      <c r="L659" s="1156"/>
      <c r="M659" s="1156"/>
      <c r="N659" s="1156"/>
      <c r="O659" s="1156"/>
      <c r="P659" s="1156"/>
      <c r="Q659" s="1156"/>
      <c r="R659" s="1156"/>
      <c r="S659" s="1156"/>
      <c r="T659" s="1156"/>
      <c r="U659" s="1156"/>
      <c r="V659" s="1156"/>
      <c r="W659" s="1156"/>
      <c r="X659" s="1156"/>
      <c r="Y659" s="1156"/>
      <c r="Z659" s="1156"/>
      <c r="AA659" s="1156"/>
      <c r="AB659" s="1154"/>
      <c r="AC659" s="1155"/>
    </row>
    <row r="660" spans="1:29" ht="22.5" customHeight="1" x14ac:dyDescent="0.25">
      <c r="A660" s="526"/>
      <c r="B660" s="527"/>
      <c r="C660" s="527"/>
      <c r="D660" s="527"/>
      <c r="E660" s="527"/>
      <c r="F660" s="527"/>
      <c r="G660" s="527"/>
      <c r="H660" s="527"/>
      <c r="I660" s="527"/>
      <c r="J660" s="527"/>
      <c r="K660" s="1152"/>
      <c r="L660" s="1156"/>
      <c r="M660" s="1156"/>
      <c r="N660" s="1156"/>
      <c r="O660" s="1156"/>
      <c r="P660" s="1156"/>
      <c r="Q660" s="1156"/>
      <c r="R660" s="1156"/>
      <c r="S660" s="1156"/>
      <c r="T660" s="1156"/>
      <c r="U660" s="1156"/>
      <c r="V660" s="1156"/>
      <c r="W660" s="1156"/>
      <c r="X660" s="1156"/>
      <c r="Y660" s="1156"/>
      <c r="Z660" s="1156"/>
      <c r="AA660" s="1156"/>
      <c r="AB660" s="1154"/>
      <c r="AC660" s="1155"/>
    </row>
    <row r="661" spans="1:29" ht="22.5" customHeight="1" x14ac:dyDescent="0.25">
      <c r="A661" s="526"/>
      <c r="B661" s="527"/>
      <c r="C661" s="527"/>
      <c r="D661" s="527"/>
      <c r="E661" s="527"/>
      <c r="F661" s="527"/>
      <c r="G661" s="527"/>
      <c r="H661" s="527"/>
      <c r="I661" s="527"/>
      <c r="J661" s="527"/>
      <c r="K661" s="1152"/>
      <c r="L661" s="1156"/>
      <c r="M661" s="1156"/>
      <c r="N661" s="1156"/>
      <c r="O661" s="1156"/>
      <c r="P661" s="1156"/>
      <c r="Q661" s="1156"/>
      <c r="R661" s="1156"/>
      <c r="S661" s="1156"/>
      <c r="T661" s="1156"/>
      <c r="U661" s="1156"/>
      <c r="V661" s="1156"/>
      <c r="W661" s="1156"/>
      <c r="X661" s="1156"/>
      <c r="Y661" s="1156"/>
      <c r="Z661" s="1156"/>
      <c r="AA661" s="1156"/>
      <c r="AB661" s="1154"/>
      <c r="AC661" s="1155"/>
    </row>
    <row r="662" spans="1:29" ht="22.5" customHeight="1" thickBot="1" x14ac:dyDescent="0.3">
      <c r="A662" s="539"/>
      <c r="B662" s="540"/>
      <c r="C662" s="540"/>
      <c r="D662" s="540"/>
      <c r="E662" s="540"/>
      <c r="F662" s="540"/>
      <c r="G662" s="540"/>
      <c r="H662" s="540"/>
      <c r="I662" s="540"/>
      <c r="J662" s="540"/>
      <c r="K662" s="1157"/>
      <c r="L662" s="1158"/>
      <c r="M662" s="1158"/>
      <c r="N662" s="1158"/>
      <c r="O662" s="1158"/>
      <c r="P662" s="1158"/>
      <c r="Q662" s="1158"/>
      <c r="R662" s="1158"/>
      <c r="S662" s="1158"/>
      <c r="T662" s="1158"/>
      <c r="U662" s="1158"/>
      <c r="V662" s="1158"/>
      <c r="W662" s="1158"/>
      <c r="X662" s="1158"/>
      <c r="Y662" s="1158"/>
      <c r="Z662" s="1158"/>
      <c r="AA662" s="1158"/>
      <c r="AB662" s="1159"/>
      <c r="AC662" s="1160"/>
    </row>
    <row r="663" spans="1:29" ht="22.5" customHeight="1" thickTop="1" thickBot="1" x14ac:dyDescent="0.3">
      <c r="A663" s="425"/>
      <c r="B663" s="505"/>
      <c r="C663" s="505"/>
      <c r="D663" s="505"/>
      <c r="E663" s="505"/>
      <c r="F663" s="505"/>
      <c r="G663" s="505"/>
      <c r="H663" s="505"/>
      <c r="I663" s="505"/>
      <c r="J663" s="505"/>
      <c r="K663" s="609"/>
      <c r="L663" s="1161"/>
      <c r="M663" s="1161"/>
      <c r="N663" s="1161"/>
      <c r="O663" s="1161"/>
      <c r="P663" s="1161"/>
      <c r="Q663" s="1161"/>
      <c r="R663" s="1161"/>
      <c r="S663" s="1161"/>
      <c r="T663" s="1161"/>
      <c r="U663" s="1161"/>
      <c r="V663" s="1161"/>
      <c r="W663" s="1161"/>
      <c r="X663" s="1161"/>
      <c r="Y663" s="1161"/>
      <c r="Z663" s="1161"/>
      <c r="AA663" s="1161"/>
      <c r="AB663" s="1162"/>
      <c r="AC663" s="729"/>
    </row>
    <row r="664" spans="1:29" ht="22.5" customHeight="1" thickTop="1" thickBot="1" x14ac:dyDescent="0.3">
      <c r="A664" s="425"/>
      <c r="B664" s="505"/>
      <c r="C664" s="505"/>
      <c r="D664" s="505"/>
      <c r="E664" s="505"/>
      <c r="F664" s="505"/>
      <c r="G664" s="505"/>
      <c r="H664" s="505"/>
      <c r="I664" s="505"/>
      <c r="J664" s="505"/>
      <c r="K664" s="609"/>
      <c r="L664" s="1161"/>
      <c r="M664" s="1161"/>
      <c r="N664" s="1161"/>
      <c r="O664" s="1161"/>
      <c r="P664" s="1161"/>
      <c r="Q664" s="1161"/>
      <c r="R664" s="1161"/>
      <c r="S664" s="1161"/>
      <c r="T664" s="1161"/>
      <c r="U664" s="1161"/>
      <c r="V664" s="1161"/>
      <c r="W664" s="1161"/>
      <c r="X664" s="1161"/>
      <c r="Y664" s="1161"/>
      <c r="Z664" s="1161"/>
      <c r="AA664" s="1161"/>
      <c r="AB664" s="1162"/>
      <c r="AC664" s="729"/>
    </row>
    <row r="665" spans="1:29" ht="22.5" customHeight="1" thickTop="1" thickBot="1" x14ac:dyDescent="0.3">
      <c r="A665" s="425"/>
      <c r="B665" s="505"/>
      <c r="C665" s="505"/>
      <c r="D665" s="505"/>
      <c r="E665" s="505"/>
      <c r="F665" s="505"/>
      <c r="G665" s="505"/>
      <c r="H665" s="505"/>
      <c r="I665" s="505"/>
      <c r="J665" s="505"/>
      <c r="K665" s="609"/>
      <c r="L665" s="1161"/>
      <c r="M665" s="1161"/>
      <c r="N665" s="1161"/>
      <c r="O665" s="1161"/>
      <c r="P665" s="1161"/>
      <c r="Q665" s="1161"/>
      <c r="R665" s="1161"/>
      <c r="S665" s="1161"/>
      <c r="T665" s="1161"/>
      <c r="U665" s="1161"/>
      <c r="V665" s="1161"/>
      <c r="W665" s="1161"/>
      <c r="X665" s="1161"/>
      <c r="Y665" s="1161"/>
      <c r="Z665" s="1161"/>
      <c r="AA665" s="1161"/>
      <c r="AB665" s="1162"/>
      <c r="AC665" s="729"/>
    </row>
    <row r="666" spans="1:29" ht="22.5" customHeight="1" thickTop="1" thickBot="1" x14ac:dyDescent="0.3">
      <c r="A666" s="425"/>
      <c r="B666" s="505"/>
      <c r="C666" s="505"/>
      <c r="D666" s="505"/>
      <c r="E666" s="505"/>
      <c r="F666" s="505"/>
      <c r="G666" s="505"/>
      <c r="H666" s="505"/>
      <c r="I666" s="505"/>
      <c r="J666" s="505"/>
      <c r="K666" s="609"/>
      <c r="L666" s="1161"/>
      <c r="M666" s="1161"/>
      <c r="N666" s="1161"/>
      <c r="O666" s="1161"/>
      <c r="P666" s="1161"/>
      <c r="Q666" s="1161"/>
      <c r="R666" s="1161"/>
      <c r="S666" s="1161"/>
      <c r="T666" s="1161"/>
      <c r="U666" s="1161"/>
      <c r="V666" s="1161"/>
      <c r="W666" s="1161"/>
      <c r="X666" s="1161"/>
      <c r="Y666" s="1161"/>
      <c r="Z666" s="1161"/>
      <c r="AA666" s="1161"/>
      <c r="AB666" s="1162"/>
      <c r="AC666" s="729"/>
    </row>
    <row r="667" spans="1:29" ht="22.5" customHeight="1" thickTop="1" thickBot="1" x14ac:dyDescent="0.3">
      <c r="A667" s="425"/>
      <c r="B667" s="505"/>
      <c r="C667" s="505"/>
      <c r="D667" s="505"/>
      <c r="E667" s="505"/>
      <c r="F667" s="505"/>
      <c r="G667" s="505"/>
      <c r="H667" s="505"/>
      <c r="I667" s="505"/>
      <c r="J667" s="505"/>
      <c r="K667" s="609"/>
      <c r="L667" s="1161"/>
      <c r="M667" s="1161"/>
      <c r="N667" s="1161"/>
      <c r="O667" s="1161"/>
      <c r="P667" s="1161"/>
      <c r="Q667" s="1161"/>
      <c r="R667" s="1161"/>
      <c r="S667" s="1161"/>
      <c r="T667" s="1161"/>
      <c r="U667" s="1161"/>
      <c r="V667" s="1161"/>
      <c r="W667" s="1161"/>
      <c r="X667" s="1161"/>
      <c r="Y667" s="1161"/>
      <c r="Z667" s="1161"/>
      <c r="AA667" s="1161"/>
      <c r="AB667" s="1162"/>
      <c r="AC667" s="729"/>
    </row>
    <row r="668" spans="1:29" ht="22.5" customHeight="1" thickTop="1" thickBot="1" x14ac:dyDescent="0.3">
      <c r="A668" s="425"/>
      <c r="B668" s="505"/>
      <c r="C668" s="505"/>
      <c r="D668" s="505"/>
      <c r="E668" s="505"/>
      <c r="F668" s="505"/>
      <c r="G668" s="505"/>
      <c r="H668" s="505"/>
      <c r="I668" s="505"/>
      <c r="J668" s="505"/>
      <c r="K668" s="609"/>
      <c r="L668" s="1161"/>
      <c r="M668" s="1161"/>
      <c r="N668" s="1161"/>
      <c r="O668" s="1161"/>
      <c r="P668" s="1161"/>
      <c r="Q668" s="1161"/>
      <c r="R668" s="1161"/>
      <c r="S668" s="1161"/>
      <c r="T668" s="1161"/>
      <c r="U668" s="1161"/>
      <c r="V668" s="1161"/>
      <c r="W668" s="1161"/>
      <c r="X668" s="1161"/>
      <c r="Y668" s="1161"/>
      <c r="Z668" s="1161"/>
      <c r="AA668" s="1161"/>
      <c r="AB668" s="1162"/>
      <c r="AC668" s="729"/>
    </row>
    <row r="669" spans="1:29" ht="22.5" customHeight="1" thickTop="1" thickBot="1" x14ac:dyDescent="0.3">
      <c r="A669" s="425"/>
      <c r="B669" s="505"/>
      <c r="C669" s="505"/>
      <c r="D669" s="505"/>
      <c r="E669" s="505"/>
      <c r="F669" s="505"/>
      <c r="G669" s="505"/>
      <c r="H669" s="505"/>
      <c r="I669" s="505"/>
      <c r="J669" s="505"/>
      <c r="K669" s="609"/>
      <c r="L669" s="1161"/>
      <c r="M669" s="1161"/>
      <c r="N669" s="1161"/>
      <c r="O669" s="1161"/>
      <c r="P669" s="1161"/>
      <c r="Q669" s="1161"/>
      <c r="R669" s="1161"/>
      <c r="S669" s="1161"/>
      <c r="T669" s="1161"/>
      <c r="U669" s="1161"/>
      <c r="V669" s="1161"/>
      <c r="W669" s="1161"/>
      <c r="X669" s="1161"/>
      <c r="Y669" s="1161"/>
      <c r="Z669" s="1161"/>
      <c r="AA669" s="1161"/>
      <c r="AB669" s="1162"/>
      <c r="AC669" s="729"/>
    </row>
    <row r="670" spans="1:29" ht="22.5" customHeight="1" thickTop="1" thickBot="1" x14ac:dyDescent="0.3">
      <c r="A670" s="425"/>
      <c r="B670" s="505"/>
      <c r="C670" s="505"/>
      <c r="D670" s="505"/>
      <c r="E670" s="505"/>
      <c r="F670" s="505"/>
      <c r="G670" s="505"/>
      <c r="H670" s="505"/>
      <c r="I670" s="505"/>
      <c r="J670" s="505"/>
      <c r="K670" s="609"/>
      <c r="L670" s="1161"/>
      <c r="M670" s="1161"/>
      <c r="N670" s="1161"/>
      <c r="O670" s="1161"/>
      <c r="P670" s="1161"/>
      <c r="Q670" s="1161"/>
      <c r="R670" s="1161"/>
      <c r="S670" s="1161"/>
      <c r="T670" s="1161"/>
      <c r="U670" s="1161"/>
      <c r="V670" s="1161"/>
      <c r="W670" s="1161"/>
      <c r="X670" s="1161"/>
      <c r="Y670" s="1161"/>
      <c r="Z670" s="1161"/>
      <c r="AA670" s="1161"/>
      <c r="AB670" s="1162"/>
      <c r="AC670" s="729"/>
    </row>
    <row r="671" spans="1:29" ht="22.5" customHeight="1" thickTop="1" thickBot="1" x14ac:dyDescent="0.3">
      <c r="A671" s="425"/>
      <c r="B671" s="505"/>
      <c r="C671" s="505"/>
      <c r="D671" s="505"/>
      <c r="E671" s="505"/>
      <c r="F671" s="505"/>
      <c r="G671" s="505"/>
      <c r="H671" s="505"/>
      <c r="I671" s="505"/>
      <c r="J671" s="505"/>
      <c r="K671" s="609"/>
      <c r="L671" s="1161"/>
      <c r="M671" s="1161"/>
      <c r="N671" s="1161"/>
      <c r="O671" s="1161"/>
      <c r="P671" s="1161"/>
      <c r="Q671" s="1161"/>
      <c r="R671" s="1161"/>
      <c r="S671" s="1161"/>
      <c r="T671" s="1161"/>
      <c r="U671" s="1161"/>
      <c r="V671" s="1161"/>
      <c r="W671" s="1161"/>
      <c r="X671" s="1161"/>
      <c r="Y671" s="1161"/>
      <c r="Z671" s="1161"/>
      <c r="AA671" s="1161"/>
      <c r="AB671" s="1162"/>
      <c r="AC671" s="729"/>
    </row>
    <row r="672" spans="1:29" ht="22.5" customHeight="1" thickTop="1" thickBot="1" x14ac:dyDescent="0.3">
      <c r="A672" s="425"/>
      <c r="B672" s="505"/>
      <c r="C672" s="505"/>
      <c r="D672" s="505"/>
      <c r="E672" s="505"/>
      <c r="F672" s="505"/>
      <c r="G672" s="505"/>
      <c r="H672" s="505"/>
      <c r="I672" s="505"/>
      <c r="J672" s="505"/>
      <c r="K672" s="609"/>
      <c r="L672" s="1161"/>
      <c r="M672" s="1161"/>
      <c r="N672" s="1161"/>
      <c r="O672" s="1161"/>
      <c r="P672" s="1161"/>
      <c r="Q672" s="1161"/>
      <c r="R672" s="1161"/>
      <c r="S672" s="1161"/>
      <c r="T672" s="1161"/>
      <c r="U672" s="1161"/>
      <c r="V672" s="1161"/>
      <c r="W672" s="1161"/>
      <c r="X672" s="1161"/>
      <c r="Y672" s="1161"/>
      <c r="Z672" s="1161"/>
      <c r="AA672" s="1161"/>
      <c r="AB672" s="1162"/>
      <c r="AC672" s="729"/>
    </row>
    <row r="673" spans="1:29" ht="22.5" customHeight="1" thickTop="1" thickBot="1" x14ac:dyDescent="0.3">
      <c r="A673" s="425"/>
      <c r="B673" s="505"/>
      <c r="C673" s="505"/>
      <c r="D673" s="505"/>
      <c r="E673" s="505"/>
      <c r="F673" s="505"/>
      <c r="G673" s="505"/>
      <c r="H673" s="505"/>
      <c r="I673" s="505"/>
      <c r="J673" s="505"/>
      <c r="K673" s="609"/>
      <c r="L673" s="1161"/>
      <c r="M673" s="1161"/>
      <c r="N673" s="1161"/>
      <c r="O673" s="1161"/>
      <c r="P673" s="1161"/>
      <c r="Q673" s="1161"/>
      <c r="R673" s="1161"/>
      <c r="S673" s="1161"/>
      <c r="T673" s="1161"/>
      <c r="U673" s="1161"/>
      <c r="V673" s="1161"/>
      <c r="W673" s="1161"/>
      <c r="X673" s="1161"/>
      <c r="Y673" s="1161"/>
      <c r="Z673" s="1161"/>
      <c r="AA673" s="1161"/>
      <c r="AB673" s="1162"/>
      <c r="AC673" s="729"/>
    </row>
    <row r="674" spans="1:29" ht="22.5" customHeight="1" thickTop="1" thickBot="1" x14ac:dyDescent="0.3">
      <c r="A674" s="425"/>
      <c r="B674" s="505"/>
      <c r="C674" s="505"/>
      <c r="D674" s="505"/>
      <c r="E674" s="505"/>
      <c r="F674" s="505"/>
      <c r="G674" s="505"/>
      <c r="H674" s="505"/>
      <c r="I674" s="505"/>
      <c r="J674" s="505"/>
      <c r="K674" s="609"/>
      <c r="L674" s="1161"/>
      <c r="M674" s="1161"/>
      <c r="N674" s="1161"/>
      <c r="O674" s="1161"/>
      <c r="P674" s="1161"/>
      <c r="Q674" s="1161"/>
      <c r="R674" s="1161"/>
      <c r="S674" s="1161"/>
      <c r="T674" s="1161"/>
      <c r="U674" s="1161"/>
      <c r="V674" s="1161"/>
      <c r="W674" s="1161"/>
      <c r="X674" s="1161"/>
      <c r="Y674" s="1161"/>
      <c r="Z674" s="1161"/>
      <c r="AA674" s="1161"/>
      <c r="AB674" s="1162"/>
      <c r="AC674" s="729"/>
    </row>
    <row r="675" spans="1:29" ht="22.5" customHeight="1" thickTop="1" thickBot="1" x14ac:dyDescent="0.3">
      <c r="A675" s="425"/>
      <c r="B675" s="505"/>
      <c r="C675" s="505"/>
      <c r="D675" s="505"/>
      <c r="E675" s="505"/>
      <c r="F675" s="505"/>
      <c r="G675" s="505"/>
      <c r="H675" s="505"/>
      <c r="I675" s="505"/>
      <c r="J675" s="505"/>
      <c r="K675" s="609"/>
      <c r="L675" s="1161"/>
      <c r="M675" s="1161"/>
      <c r="N675" s="1161"/>
      <c r="O675" s="1161"/>
      <c r="P675" s="1161"/>
      <c r="Q675" s="1161"/>
      <c r="R675" s="1161"/>
      <c r="S675" s="1161"/>
      <c r="T675" s="1161"/>
      <c r="U675" s="1161"/>
      <c r="V675" s="1161"/>
      <c r="W675" s="1161"/>
      <c r="X675" s="1161"/>
      <c r="Y675" s="1161"/>
      <c r="Z675" s="1161"/>
      <c r="AA675" s="1161"/>
      <c r="AB675" s="1162"/>
      <c r="AC675" s="729"/>
    </row>
    <row r="676" spans="1:29" ht="22.5" customHeight="1" thickTop="1" thickBot="1" x14ac:dyDescent="0.3">
      <c r="A676" s="425"/>
      <c r="B676" s="505"/>
      <c r="C676" s="505"/>
      <c r="D676" s="505"/>
      <c r="E676" s="505"/>
      <c r="F676" s="505"/>
      <c r="G676" s="505"/>
      <c r="H676" s="505"/>
      <c r="I676" s="505"/>
      <c r="J676" s="505"/>
      <c r="K676" s="609"/>
      <c r="L676" s="1161"/>
      <c r="M676" s="1161"/>
      <c r="N676" s="1161"/>
      <c r="O676" s="1161"/>
      <c r="P676" s="1161"/>
      <c r="Q676" s="1161"/>
      <c r="R676" s="1161"/>
      <c r="S676" s="1161"/>
      <c r="T676" s="1161"/>
      <c r="U676" s="1161"/>
      <c r="V676" s="1161"/>
      <c r="W676" s="1161"/>
      <c r="X676" s="1161"/>
      <c r="Y676" s="1161"/>
      <c r="Z676" s="1161"/>
      <c r="AA676" s="1161"/>
      <c r="AB676" s="1162"/>
      <c r="AC676" s="729"/>
    </row>
    <row r="677" spans="1:29" ht="22.5" customHeight="1" thickTop="1" thickBot="1" x14ac:dyDescent="0.3">
      <c r="A677" s="425"/>
      <c r="B677" s="505"/>
      <c r="C677" s="505"/>
      <c r="D677" s="505"/>
      <c r="E677" s="505"/>
      <c r="F677" s="505"/>
      <c r="G677" s="505"/>
      <c r="H677" s="505"/>
      <c r="I677" s="505"/>
      <c r="J677" s="505"/>
      <c r="K677" s="609"/>
      <c r="L677" s="1161"/>
      <c r="M677" s="1161"/>
      <c r="N677" s="1161"/>
      <c r="O677" s="1161"/>
      <c r="P677" s="1161"/>
      <c r="Q677" s="1161"/>
      <c r="R677" s="1161"/>
      <c r="S677" s="1161"/>
      <c r="T677" s="1161"/>
      <c r="U677" s="1161"/>
      <c r="V677" s="1161"/>
      <c r="W677" s="1161"/>
      <c r="X677" s="1161"/>
      <c r="Y677" s="1161"/>
      <c r="Z677" s="1161"/>
      <c r="AA677" s="1161"/>
      <c r="AB677" s="1162"/>
      <c r="AC677" s="729"/>
    </row>
    <row r="678" spans="1:29" ht="22.5" customHeight="1" thickTop="1" thickBot="1" x14ac:dyDescent="0.3">
      <c r="A678" s="425"/>
      <c r="B678" s="505"/>
      <c r="C678" s="505"/>
      <c r="D678" s="505"/>
      <c r="E678" s="505"/>
      <c r="F678" s="505"/>
      <c r="G678" s="505"/>
      <c r="H678" s="505"/>
      <c r="I678" s="505"/>
      <c r="J678" s="505"/>
      <c r="K678" s="609"/>
      <c r="L678" s="1161"/>
      <c r="M678" s="1161"/>
      <c r="N678" s="1161"/>
      <c r="O678" s="1161"/>
      <c r="P678" s="1161"/>
      <c r="Q678" s="1161"/>
      <c r="R678" s="1161"/>
      <c r="S678" s="1161"/>
      <c r="T678" s="1161"/>
      <c r="U678" s="1161"/>
      <c r="V678" s="1161"/>
      <c r="W678" s="1161"/>
      <c r="X678" s="1161"/>
      <c r="Y678" s="1161"/>
      <c r="Z678" s="1161"/>
      <c r="AA678" s="1161"/>
      <c r="AB678" s="1162"/>
      <c r="AC678" s="729"/>
    </row>
    <row r="679" spans="1:29" ht="22.5" customHeight="1" thickTop="1" thickBot="1" x14ac:dyDescent="0.3">
      <c r="A679" s="425"/>
      <c r="B679" s="505"/>
      <c r="C679" s="505"/>
      <c r="D679" s="505"/>
      <c r="E679" s="505"/>
      <c r="F679" s="505"/>
      <c r="G679" s="505"/>
      <c r="H679" s="505"/>
      <c r="I679" s="505"/>
      <c r="J679" s="505"/>
      <c r="K679" s="609"/>
      <c r="L679" s="1161"/>
      <c r="M679" s="1161"/>
      <c r="N679" s="1161"/>
      <c r="O679" s="1161"/>
      <c r="P679" s="1161"/>
      <c r="Q679" s="1161"/>
      <c r="R679" s="1161"/>
      <c r="S679" s="1161"/>
      <c r="T679" s="1161"/>
      <c r="U679" s="1161"/>
      <c r="V679" s="1161"/>
      <c r="W679" s="1161"/>
      <c r="X679" s="1161"/>
      <c r="Y679" s="1161"/>
      <c r="Z679" s="1161"/>
      <c r="AA679" s="1161"/>
      <c r="AB679" s="1162"/>
      <c r="AC679" s="729"/>
    </row>
    <row r="680" spans="1:29" ht="22.5" customHeight="1" thickTop="1" thickBot="1" x14ac:dyDescent="0.3">
      <c r="A680" s="425"/>
      <c r="B680" s="505"/>
      <c r="C680" s="505"/>
      <c r="D680" s="505"/>
      <c r="E680" s="505"/>
      <c r="F680" s="505"/>
      <c r="G680" s="505"/>
      <c r="H680" s="505"/>
      <c r="I680" s="505"/>
      <c r="J680" s="505"/>
      <c r="K680" s="609"/>
      <c r="L680" s="1161"/>
      <c r="M680" s="1161"/>
      <c r="N680" s="1161"/>
      <c r="O680" s="1161"/>
      <c r="P680" s="1161"/>
      <c r="Q680" s="1161"/>
      <c r="R680" s="1161"/>
      <c r="S680" s="1161"/>
      <c r="T680" s="1161"/>
      <c r="U680" s="1161"/>
      <c r="V680" s="1161"/>
      <c r="W680" s="1161"/>
      <c r="X680" s="1161"/>
      <c r="Y680" s="1161"/>
      <c r="Z680" s="1161"/>
      <c r="AA680" s="1161"/>
      <c r="AB680" s="1162"/>
      <c r="AC680" s="729"/>
    </row>
    <row r="681" spans="1:29" ht="22.5" customHeight="1" thickTop="1" thickBot="1" x14ac:dyDescent="0.3">
      <c r="A681" s="425"/>
      <c r="B681" s="505"/>
      <c r="C681" s="505"/>
      <c r="D681" s="505"/>
      <c r="E681" s="505"/>
      <c r="F681" s="505"/>
      <c r="G681" s="505"/>
      <c r="H681" s="505"/>
      <c r="I681" s="505"/>
      <c r="J681" s="505"/>
      <c r="K681" s="609"/>
      <c r="L681" s="1161"/>
      <c r="M681" s="1161"/>
      <c r="N681" s="1161"/>
      <c r="O681" s="1161"/>
      <c r="P681" s="1161"/>
      <c r="Q681" s="1161"/>
      <c r="R681" s="1161"/>
      <c r="S681" s="1161"/>
      <c r="T681" s="1161"/>
      <c r="U681" s="1161"/>
      <c r="V681" s="1161"/>
      <c r="W681" s="1161"/>
      <c r="X681" s="1161"/>
      <c r="Y681" s="1161"/>
      <c r="Z681" s="1161"/>
      <c r="AA681" s="1161"/>
      <c r="AB681" s="1162"/>
      <c r="AC681" s="729"/>
    </row>
    <row r="682" spans="1:29" ht="22.5" customHeight="1" thickTop="1" thickBot="1" x14ac:dyDescent="0.3">
      <c r="A682" s="425"/>
      <c r="B682" s="505"/>
      <c r="C682" s="505"/>
      <c r="D682" s="505"/>
      <c r="E682" s="505"/>
      <c r="F682" s="505"/>
      <c r="G682" s="505"/>
      <c r="H682" s="505"/>
      <c r="I682" s="505"/>
      <c r="J682" s="505"/>
      <c r="K682" s="609"/>
      <c r="L682" s="1161"/>
      <c r="M682" s="1161"/>
      <c r="N682" s="1161"/>
      <c r="O682" s="1161"/>
      <c r="P682" s="1161"/>
      <c r="Q682" s="1161"/>
      <c r="R682" s="1161"/>
      <c r="S682" s="1161"/>
      <c r="T682" s="1161"/>
      <c r="U682" s="1161"/>
      <c r="V682" s="1161"/>
      <c r="W682" s="1161"/>
      <c r="X682" s="1161"/>
      <c r="Y682" s="1161"/>
      <c r="Z682" s="1161"/>
      <c r="AA682" s="1161"/>
      <c r="AB682" s="1162"/>
      <c r="AC682" s="729"/>
    </row>
    <row r="683" spans="1:29" ht="22.5" customHeight="1" thickTop="1" thickBot="1" x14ac:dyDescent="0.3">
      <c r="A683" s="425"/>
      <c r="B683" s="505"/>
      <c r="C683" s="505"/>
      <c r="D683" s="505"/>
      <c r="E683" s="505"/>
      <c r="F683" s="505"/>
      <c r="G683" s="505"/>
      <c r="H683" s="505"/>
      <c r="I683" s="505"/>
      <c r="J683" s="505"/>
      <c r="K683" s="609"/>
      <c r="L683" s="1161"/>
      <c r="M683" s="1161"/>
      <c r="N683" s="1161"/>
      <c r="O683" s="1161"/>
      <c r="P683" s="1161"/>
      <c r="Q683" s="1161"/>
      <c r="R683" s="1161"/>
      <c r="S683" s="1161"/>
      <c r="T683" s="1161"/>
      <c r="U683" s="1161"/>
      <c r="V683" s="1161"/>
      <c r="W683" s="1161"/>
      <c r="X683" s="1161"/>
      <c r="Y683" s="1161"/>
      <c r="Z683" s="1161"/>
      <c r="AA683" s="1161"/>
      <c r="AB683" s="1162"/>
      <c r="AC683" s="729"/>
    </row>
    <row r="684" spans="1:29" ht="22.5" customHeight="1" thickTop="1" thickBot="1" x14ac:dyDescent="0.3">
      <c r="A684" s="425"/>
      <c r="B684" s="505"/>
      <c r="C684" s="505"/>
      <c r="D684" s="505"/>
      <c r="E684" s="505"/>
      <c r="F684" s="505"/>
      <c r="G684" s="505"/>
      <c r="H684" s="505"/>
      <c r="I684" s="505"/>
      <c r="J684" s="505"/>
      <c r="K684" s="609"/>
      <c r="L684" s="1161"/>
      <c r="M684" s="1161"/>
      <c r="N684" s="1161"/>
      <c r="O684" s="1161"/>
      <c r="P684" s="1161"/>
      <c r="Q684" s="1161"/>
      <c r="R684" s="1161"/>
      <c r="S684" s="1161"/>
      <c r="T684" s="1161"/>
      <c r="U684" s="1161"/>
      <c r="V684" s="1161"/>
      <c r="W684" s="1161"/>
      <c r="X684" s="1161"/>
      <c r="Y684" s="1161"/>
      <c r="Z684" s="1161"/>
      <c r="AA684" s="1161"/>
      <c r="AB684" s="1162"/>
      <c r="AC684" s="729"/>
    </row>
    <row r="685" spans="1:29" ht="22.5" customHeight="1" thickTop="1" thickBot="1" x14ac:dyDescent="0.3">
      <c r="A685" s="425"/>
      <c r="B685" s="505"/>
      <c r="C685" s="505"/>
      <c r="D685" s="505"/>
      <c r="E685" s="505"/>
      <c r="F685" s="505"/>
      <c r="G685" s="505"/>
      <c r="H685" s="505"/>
      <c r="I685" s="505"/>
      <c r="J685" s="505"/>
      <c r="K685" s="609"/>
      <c r="L685" s="1161"/>
      <c r="M685" s="1161"/>
      <c r="N685" s="1161"/>
      <c r="O685" s="1161"/>
      <c r="P685" s="1161"/>
      <c r="Q685" s="1161"/>
      <c r="R685" s="1161"/>
      <c r="S685" s="1161"/>
      <c r="T685" s="1161"/>
      <c r="U685" s="1161"/>
      <c r="V685" s="1161"/>
      <c r="W685" s="1161"/>
      <c r="X685" s="1161"/>
      <c r="Y685" s="1161"/>
      <c r="Z685" s="1161"/>
      <c r="AA685" s="1161"/>
      <c r="AB685" s="1162"/>
      <c r="AC685" s="729"/>
    </row>
    <row r="686" spans="1:29" ht="22.5" customHeight="1" thickTop="1" thickBot="1" x14ac:dyDescent="0.3">
      <c r="A686" s="425"/>
      <c r="B686" s="505"/>
      <c r="C686" s="505"/>
      <c r="D686" s="505"/>
      <c r="E686" s="505"/>
      <c r="F686" s="505"/>
      <c r="G686" s="505"/>
      <c r="H686" s="505"/>
      <c r="I686" s="505"/>
      <c r="J686" s="505"/>
      <c r="K686" s="609"/>
      <c r="L686" s="1161"/>
      <c r="M686" s="1161"/>
      <c r="N686" s="1161"/>
      <c r="O686" s="1161"/>
      <c r="P686" s="1161"/>
      <c r="Q686" s="1161"/>
      <c r="R686" s="1161"/>
      <c r="S686" s="1161"/>
      <c r="T686" s="1161"/>
      <c r="U686" s="1161"/>
      <c r="V686" s="1161"/>
      <c r="W686" s="1161"/>
      <c r="X686" s="1161"/>
      <c r="Y686" s="1161"/>
      <c r="Z686" s="1161"/>
      <c r="AA686" s="1161"/>
      <c r="AB686" s="1162"/>
      <c r="AC686" s="729"/>
    </row>
    <row r="687" spans="1:29" ht="22.5" customHeight="1" thickTop="1" thickBot="1" x14ac:dyDescent="0.3">
      <c r="A687" s="425"/>
      <c r="B687" s="505"/>
      <c r="C687" s="505"/>
      <c r="D687" s="505"/>
      <c r="E687" s="505"/>
      <c r="F687" s="505"/>
      <c r="G687" s="505"/>
      <c r="H687" s="505"/>
      <c r="I687" s="505"/>
      <c r="J687" s="505"/>
      <c r="K687" s="609"/>
      <c r="L687" s="1161"/>
      <c r="M687" s="1161"/>
      <c r="N687" s="1161"/>
      <c r="O687" s="1161"/>
      <c r="P687" s="1161"/>
      <c r="Q687" s="1161"/>
      <c r="R687" s="1161"/>
      <c r="S687" s="1161"/>
      <c r="T687" s="1161"/>
      <c r="U687" s="1161"/>
      <c r="V687" s="1161"/>
      <c r="W687" s="1161"/>
      <c r="X687" s="1161"/>
      <c r="Y687" s="1161"/>
      <c r="Z687" s="1161"/>
      <c r="AA687" s="1161"/>
      <c r="AB687" s="1162"/>
      <c r="AC687" s="729"/>
    </row>
    <row r="688" spans="1:29" ht="22.5" customHeight="1" thickTop="1" thickBot="1" x14ac:dyDescent="0.3">
      <c r="A688" s="425"/>
      <c r="B688" s="505"/>
      <c r="C688" s="505"/>
      <c r="D688" s="505"/>
      <c r="E688" s="505"/>
      <c r="F688" s="505"/>
      <c r="G688" s="505"/>
      <c r="H688" s="505"/>
      <c r="I688" s="505"/>
      <c r="J688" s="505"/>
      <c r="K688" s="609"/>
      <c r="L688" s="1161"/>
      <c r="M688" s="1161"/>
      <c r="N688" s="1161"/>
      <c r="O688" s="1161"/>
      <c r="P688" s="1161"/>
      <c r="Q688" s="1161"/>
      <c r="R688" s="1161"/>
      <c r="S688" s="1161"/>
      <c r="T688" s="1161"/>
      <c r="U688" s="1161"/>
      <c r="V688" s="1161"/>
      <c r="W688" s="1161"/>
      <c r="X688" s="1161"/>
      <c r="Y688" s="1161"/>
      <c r="Z688" s="1161"/>
      <c r="AA688" s="1161"/>
      <c r="AB688" s="1162"/>
      <c r="AC688" s="729"/>
    </row>
    <row r="689" spans="1:29" ht="22.5" customHeight="1" thickTop="1" thickBot="1" x14ac:dyDescent="0.3">
      <c r="A689" s="425"/>
      <c r="B689" s="505"/>
      <c r="C689" s="505"/>
      <c r="D689" s="505"/>
      <c r="E689" s="505"/>
      <c r="F689" s="505"/>
      <c r="G689" s="505"/>
      <c r="H689" s="505"/>
      <c r="I689" s="505"/>
      <c r="J689" s="505"/>
      <c r="K689" s="609"/>
      <c r="L689" s="1161"/>
      <c r="M689" s="1161"/>
      <c r="N689" s="1161"/>
      <c r="O689" s="1161"/>
      <c r="P689" s="1161"/>
      <c r="Q689" s="1161"/>
      <c r="R689" s="1161"/>
      <c r="S689" s="1161"/>
      <c r="T689" s="1161"/>
      <c r="U689" s="1161"/>
      <c r="V689" s="1161"/>
      <c r="W689" s="1161"/>
      <c r="X689" s="1161"/>
      <c r="Y689" s="1161"/>
      <c r="Z689" s="1161"/>
      <c r="AA689" s="1161"/>
      <c r="AB689" s="1162"/>
      <c r="AC689" s="729"/>
    </row>
    <row r="690" spans="1:29" ht="22.5" customHeight="1" thickTop="1" thickBot="1" x14ac:dyDescent="0.3">
      <c r="A690" s="425"/>
      <c r="B690" s="505"/>
      <c r="C690" s="505"/>
      <c r="D690" s="505"/>
      <c r="E690" s="505"/>
      <c r="F690" s="505"/>
      <c r="G690" s="505"/>
      <c r="H690" s="505"/>
      <c r="I690" s="505"/>
      <c r="J690" s="505"/>
      <c r="K690" s="609"/>
      <c r="L690" s="1161"/>
      <c r="M690" s="1161"/>
      <c r="N690" s="1161"/>
      <c r="O690" s="1161"/>
      <c r="P690" s="1161"/>
      <c r="Q690" s="1161"/>
      <c r="R690" s="1161"/>
      <c r="S690" s="1161"/>
      <c r="T690" s="1161"/>
      <c r="U690" s="1161"/>
      <c r="V690" s="1161"/>
      <c r="W690" s="1161"/>
      <c r="X690" s="1161"/>
      <c r="Y690" s="1161"/>
      <c r="Z690" s="1161"/>
      <c r="AA690" s="1161"/>
      <c r="AB690" s="1162"/>
      <c r="AC690" s="729"/>
    </row>
    <row r="691" spans="1:29" ht="22.5" customHeight="1" thickTop="1" thickBot="1" x14ac:dyDescent="0.3">
      <c r="A691" s="425"/>
      <c r="B691" s="505"/>
      <c r="C691" s="505"/>
      <c r="D691" s="505"/>
      <c r="E691" s="505"/>
      <c r="F691" s="505"/>
      <c r="G691" s="505"/>
      <c r="H691" s="505"/>
      <c r="I691" s="505"/>
      <c r="J691" s="505"/>
      <c r="K691" s="609"/>
      <c r="L691" s="1161"/>
      <c r="M691" s="1161"/>
      <c r="N691" s="1161"/>
      <c r="O691" s="1161"/>
      <c r="P691" s="1161"/>
      <c r="Q691" s="1161"/>
      <c r="R691" s="1161"/>
      <c r="S691" s="1161"/>
      <c r="T691" s="1161"/>
      <c r="U691" s="1161"/>
      <c r="V691" s="1161"/>
      <c r="W691" s="1161"/>
      <c r="X691" s="1161"/>
      <c r="Y691" s="1161"/>
      <c r="Z691" s="1161"/>
      <c r="AA691" s="1161"/>
      <c r="AB691" s="1162"/>
      <c r="AC691" s="729"/>
    </row>
    <row r="692" spans="1:29" ht="22.5" customHeight="1" thickTop="1" thickBot="1" x14ac:dyDescent="0.3">
      <c r="A692" s="425"/>
      <c r="B692" s="505"/>
      <c r="C692" s="505"/>
      <c r="D692" s="505"/>
      <c r="E692" s="505"/>
      <c r="F692" s="505"/>
      <c r="G692" s="505"/>
      <c r="H692" s="505"/>
      <c r="I692" s="505"/>
      <c r="J692" s="505"/>
      <c r="K692" s="609"/>
      <c r="L692" s="1161"/>
      <c r="M692" s="1161"/>
      <c r="N692" s="1161"/>
      <c r="O692" s="1161"/>
      <c r="P692" s="1161"/>
      <c r="Q692" s="1161"/>
      <c r="R692" s="1161"/>
      <c r="S692" s="1161"/>
      <c r="T692" s="1161"/>
      <c r="U692" s="1161"/>
      <c r="V692" s="1161"/>
      <c r="W692" s="1161"/>
      <c r="X692" s="1161"/>
      <c r="Y692" s="1161"/>
      <c r="Z692" s="1161"/>
      <c r="AA692" s="1161"/>
      <c r="AB692" s="1162"/>
      <c r="AC692" s="729"/>
    </row>
    <row r="693" spans="1:29" ht="22.5" customHeight="1" thickTop="1" thickBot="1" x14ac:dyDescent="0.3">
      <c r="A693" s="425"/>
      <c r="B693" s="505"/>
      <c r="C693" s="505"/>
      <c r="D693" s="505"/>
      <c r="E693" s="505"/>
      <c r="F693" s="505"/>
      <c r="G693" s="505"/>
      <c r="H693" s="505"/>
      <c r="I693" s="505"/>
      <c r="J693" s="505"/>
      <c r="K693" s="609"/>
      <c r="L693" s="1161"/>
      <c r="M693" s="1161"/>
      <c r="N693" s="1161"/>
      <c r="O693" s="1161"/>
      <c r="P693" s="1161"/>
      <c r="Q693" s="1161"/>
      <c r="R693" s="1161"/>
      <c r="S693" s="1161"/>
      <c r="T693" s="1161"/>
      <c r="U693" s="1161"/>
      <c r="V693" s="1161"/>
      <c r="W693" s="1161"/>
      <c r="X693" s="1161"/>
      <c r="Y693" s="1161"/>
      <c r="Z693" s="1161"/>
      <c r="AA693" s="1161"/>
      <c r="AB693" s="1162"/>
      <c r="AC693" s="729"/>
    </row>
    <row r="694" spans="1:29" ht="22.5" customHeight="1" thickTop="1" thickBot="1" x14ac:dyDescent="0.3">
      <c r="A694" s="425"/>
      <c r="B694" s="505"/>
      <c r="C694" s="505"/>
      <c r="D694" s="505"/>
      <c r="E694" s="505"/>
      <c r="F694" s="505"/>
      <c r="G694" s="505"/>
      <c r="H694" s="505"/>
      <c r="I694" s="505"/>
      <c r="J694" s="505"/>
      <c r="K694" s="609"/>
      <c r="L694" s="1161"/>
      <c r="M694" s="1161"/>
      <c r="N694" s="1161"/>
      <c r="O694" s="1161"/>
      <c r="P694" s="1161"/>
      <c r="Q694" s="1161"/>
      <c r="R694" s="1161"/>
      <c r="S694" s="1161"/>
      <c r="T694" s="1161"/>
      <c r="U694" s="1161"/>
      <c r="V694" s="1161"/>
      <c r="W694" s="1161"/>
      <c r="X694" s="1161"/>
      <c r="Y694" s="1161"/>
      <c r="Z694" s="1161"/>
      <c r="AA694" s="1161"/>
      <c r="AB694" s="1162"/>
      <c r="AC694" s="729"/>
    </row>
    <row r="695" spans="1:29" ht="22.5" customHeight="1" thickTop="1" thickBot="1" x14ac:dyDescent="0.3">
      <c r="A695" s="425"/>
      <c r="B695" s="505"/>
      <c r="C695" s="505"/>
      <c r="D695" s="505"/>
      <c r="E695" s="505"/>
      <c r="F695" s="505"/>
      <c r="G695" s="505"/>
      <c r="H695" s="505"/>
      <c r="I695" s="505"/>
      <c r="J695" s="505"/>
      <c r="K695" s="609"/>
      <c r="L695" s="1161"/>
      <c r="M695" s="1161"/>
      <c r="N695" s="1161"/>
      <c r="O695" s="1161"/>
      <c r="P695" s="1161"/>
      <c r="Q695" s="1161"/>
      <c r="R695" s="1161"/>
      <c r="S695" s="1161"/>
      <c r="T695" s="1161"/>
      <c r="U695" s="1161"/>
      <c r="V695" s="1161"/>
      <c r="W695" s="1161"/>
      <c r="X695" s="1161"/>
      <c r="Y695" s="1161"/>
      <c r="Z695" s="1161"/>
      <c r="AA695" s="1161"/>
      <c r="AB695" s="1162"/>
      <c r="AC695" s="729"/>
    </row>
    <row r="696" spans="1:29" ht="22.5" customHeight="1" thickTop="1" thickBot="1" x14ac:dyDescent="0.3">
      <c r="A696" s="425"/>
      <c r="B696" s="505"/>
      <c r="C696" s="505"/>
      <c r="D696" s="505"/>
      <c r="E696" s="505"/>
      <c r="F696" s="505"/>
      <c r="G696" s="505"/>
      <c r="H696" s="505"/>
      <c r="I696" s="505"/>
      <c r="J696" s="505"/>
      <c r="K696" s="609"/>
      <c r="L696" s="1161"/>
      <c r="M696" s="1161"/>
      <c r="N696" s="1161"/>
      <c r="O696" s="1161"/>
      <c r="P696" s="1161"/>
      <c r="Q696" s="1161"/>
      <c r="R696" s="1161"/>
      <c r="S696" s="1161"/>
      <c r="T696" s="1161"/>
      <c r="U696" s="1161"/>
      <c r="V696" s="1161"/>
      <c r="W696" s="1161"/>
      <c r="X696" s="1161"/>
      <c r="Y696" s="1161"/>
      <c r="Z696" s="1161"/>
      <c r="AA696" s="1161"/>
      <c r="AB696" s="1162"/>
      <c r="AC696" s="729"/>
    </row>
    <row r="697" spans="1:29" ht="22.5" customHeight="1" thickTop="1" thickBot="1" x14ac:dyDescent="0.3">
      <c r="A697" s="425"/>
      <c r="B697" s="505"/>
      <c r="C697" s="505"/>
      <c r="D697" s="505"/>
      <c r="E697" s="505"/>
      <c r="F697" s="505"/>
      <c r="G697" s="505"/>
      <c r="H697" s="505"/>
      <c r="I697" s="505"/>
      <c r="J697" s="505"/>
      <c r="K697" s="609"/>
      <c r="L697" s="1161"/>
      <c r="M697" s="1161"/>
      <c r="N697" s="1161"/>
      <c r="O697" s="1161"/>
      <c r="P697" s="1161"/>
      <c r="Q697" s="1161"/>
      <c r="R697" s="1161"/>
      <c r="S697" s="1161"/>
      <c r="T697" s="1161"/>
      <c r="U697" s="1161"/>
      <c r="V697" s="1161"/>
      <c r="W697" s="1161"/>
      <c r="X697" s="1161"/>
      <c r="Y697" s="1161"/>
      <c r="Z697" s="1161"/>
      <c r="AA697" s="1161"/>
      <c r="AB697" s="1162"/>
      <c r="AC697" s="729"/>
    </row>
    <row r="698" spans="1:29" ht="22.5" customHeight="1" thickTop="1" thickBot="1" x14ac:dyDescent="0.3">
      <c r="A698" s="425"/>
      <c r="B698" s="505"/>
      <c r="C698" s="505"/>
      <c r="D698" s="505"/>
      <c r="E698" s="505"/>
      <c r="F698" s="505"/>
      <c r="G698" s="505"/>
      <c r="H698" s="505"/>
      <c r="I698" s="505"/>
      <c r="J698" s="505"/>
      <c r="K698" s="609"/>
      <c r="L698" s="1161"/>
      <c r="M698" s="1161"/>
      <c r="N698" s="1161"/>
      <c r="O698" s="1161"/>
      <c r="P698" s="1161"/>
      <c r="Q698" s="1161"/>
      <c r="R698" s="1161"/>
      <c r="S698" s="1161"/>
      <c r="T698" s="1161"/>
      <c r="U698" s="1161"/>
      <c r="V698" s="1161"/>
      <c r="W698" s="1161"/>
      <c r="X698" s="1161"/>
      <c r="Y698" s="1161"/>
      <c r="Z698" s="1161"/>
      <c r="AA698" s="1161"/>
      <c r="AB698" s="1162"/>
      <c r="AC698" s="729"/>
    </row>
    <row r="699" spans="1:29" ht="22.5" customHeight="1" thickTop="1" thickBot="1" x14ac:dyDescent="0.3">
      <c r="A699" s="425"/>
      <c r="B699" s="505"/>
      <c r="C699" s="505"/>
      <c r="D699" s="505"/>
      <c r="E699" s="505"/>
      <c r="F699" s="505"/>
      <c r="G699" s="505"/>
      <c r="H699" s="505"/>
      <c r="I699" s="505"/>
      <c r="J699" s="505"/>
      <c r="K699" s="609"/>
      <c r="L699" s="1161"/>
      <c r="M699" s="1161"/>
      <c r="N699" s="1161"/>
      <c r="O699" s="1161"/>
      <c r="P699" s="1161"/>
      <c r="Q699" s="1161"/>
      <c r="R699" s="1161"/>
      <c r="S699" s="1161"/>
      <c r="T699" s="1161"/>
      <c r="U699" s="1161"/>
      <c r="V699" s="1161"/>
      <c r="W699" s="1161"/>
      <c r="X699" s="1161"/>
      <c r="Y699" s="1161"/>
      <c r="Z699" s="1161"/>
      <c r="AA699" s="1161"/>
      <c r="AB699" s="1162"/>
      <c r="AC699" s="729"/>
    </row>
    <row r="700" spans="1:29" ht="22.5" customHeight="1" thickTop="1" thickBot="1" x14ac:dyDescent="0.3">
      <c r="A700" s="425"/>
      <c r="B700" s="505"/>
      <c r="C700" s="505"/>
      <c r="D700" s="505"/>
      <c r="E700" s="505"/>
      <c r="F700" s="505"/>
      <c r="G700" s="505"/>
      <c r="H700" s="505"/>
      <c r="I700" s="505"/>
      <c r="J700" s="505"/>
      <c r="K700" s="609"/>
      <c r="L700" s="1161"/>
      <c r="M700" s="1161"/>
      <c r="N700" s="1161"/>
      <c r="O700" s="1161"/>
      <c r="P700" s="1161"/>
      <c r="Q700" s="1161"/>
      <c r="R700" s="1161"/>
      <c r="S700" s="1161"/>
      <c r="T700" s="1161"/>
      <c r="U700" s="1161"/>
      <c r="V700" s="1161"/>
      <c r="W700" s="1161"/>
      <c r="X700" s="1161"/>
      <c r="Y700" s="1161"/>
      <c r="Z700" s="1161"/>
      <c r="AA700" s="1161"/>
      <c r="AB700" s="1162"/>
      <c r="AC700" s="729"/>
    </row>
    <row r="701" spans="1:29" ht="22.5" customHeight="1" thickTop="1" thickBot="1" x14ac:dyDescent="0.3">
      <c r="A701" s="425"/>
      <c r="B701" s="505"/>
      <c r="C701" s="505"/>
      <c r="D701" s="505"/>
      <c r="E701" s="505"/>
      <c r="F701" s="505"/>
      <c r="G701" s="505"/>
      <c r="H701" s="505"/>
      <c r="I701" s="505"/>
      <c r="J701" s="505"/>
      <c r="K701" s="609"/>
      <c r="L701" s="1161"/>
      <c r="M701" s="1161"/>
      <c r="N701" s="1161"/>
      <c r="O701" s="1161"/>
      <c r="P701" s="1161"/>
      <c r="Q701" s="1161"/>
      <c r="R701" s="1161"/>
      <c r="S701" s="1161"/>
      <c r="T701" s="1161"/>
      <c r="U701" s="1161"/>
      <c r="V701" s="1161"/>
      <c r="W701" s="1161"/>
      <c r="X701" s="1161"/>
      <c r="Y701" s="1161"/>
      <c r="Z701" s="1161"/>
      <c r="AA701" s="1161"/>
      <c r="AB701" s="1162"/>
      <c r="AC701" s="729"/>
    </row>
    <row r="702" spans="1:29" ht="22.5" customHeight="1" thickTop="1" thickBot="1" x14ac:dyDescent="0.3">
      <c r="A702" s="425"/>
      <c r="B702" s="505"/>
      <c r="C702" s="505"/>
      <c r="D702" s="505"/>
      <c r="E702" s="505"/>
      <c r="F702" s="505"/>
      <c r="G702" s="505"/>
      <c r="H702" s="505"/>
      <c r="I702" s="505"/>
      <c r="J702" s="505"/>
      <c r="K702" s="609"/>
      <c r="L702" s="1161"/>
      <c r="M702" s="1161"/>
      <c r="N702" s="1161"/>
      <c r="O702" s="1161"/>
      <c r="P702" s="1161"/>
      <c r="Q702" s="1161"/>
      <c r="R702" s="1161"/>
      <c r="S702" s="1161"/>
      <c r="T702" s="1161"/>
      <c r="U702" s="1161"/>
      <c r="V702" s="1161"/>
      <c r="W702" s="1161"/>
      <c r="X702" s="1161"/>
      <c r="Y702" s="1161"/>
      <c r="Z702" s="1161"/>
      <c r="AA702" s="1161"/>
      <c r="AB702" s="1162"/>
      <c r="AC702" s="729"/>
    </row>
    <row r="703" spans="1:29" ht="22.5" customHeight="1" thickTop="1" thickBot="1" x14ac:dyDescent="0.3">
      <c r="A703" s="425"/>
      <c r="B703" s="505"/>
      <c r="C703" s="505"/>
      <c r="D703" s="505"/>
      <c r="E703" s="505"/>
      <c r="F703" s="505"/>
      <c r="G703" s="505"/>
      <c r="H703" s="505"/>
      <c r="I703" s="505"/>
      <c r="J703" s="505"/>
      <c r="K703" s="609"/>
      <c r="L703" s="1161"/>
      <c r="M703" s="1161"/>
      <c r="N703" s="1161"/>
      <c r="O703" s="1161"/>
      <c r="P703" s="1161"/>
      <c r="Q703" s="1161"/>
      <c r="R703" s="1161"/>
      <c r="S703" s="1161"/>
      <c r="T703" s="1161"/>
      <c r="U703" s="1161"/>
      <c r="V703" s="1161"/>
      <c r="W703" s="1161"/>
      <c r="X703" s="1161"/>
      <c r="Y703" s="1161"/>
      <c r="Z703" s="1161"/>
      <c r="AA703" s="1161"/>
      <c r="AB703" s="1162"/>
      <c r="AC703" s="729"/>
    </row>
    <row r="704" spans="1:29" ht="22.5" customHeight="1" thickTop="1" thickBot="1" x14ac:dyDescent="0.3">
      <c r="A704" s="425"/>
      <c r="B704" s="505"/>
      <c r="C704" s="505"/>
      <c r="D704" s="505"/>
      <c r="E704" s="505"/>
      <c r="F704" s="505"/>
      <c r="G704" s="505"/>
      <c r="H704" s="505"/>
      <c r="I704" s="505"/>
      <c r="J704" s="505"/>
      <c r="K704" s="609"/>
      <c r="L704" s="1161"/>
      <c r="M704" s="1161"/>
      <c r="N704" s="1161"/>
      <c r="O704" s="1161"/>
      <c r="P704" s="1161"/>
      <c r="Q704" s="1161"/>
      <c r="R704" s="1161"/>
      <c r="S704" s="1161"/>
      <c r="T704" s="1161"/>
      <c r="U704" s="1161"/>
      <c r="V704" s="1161"/>
      <c r="W704" s="1161"/>
      <c r="X704" s="1161"/>
      <c r="Y704" s="1161"/>
      <c r="Z704" s="1161"/>
      <c r="AA704" s="1161"/>
      <c r="AB704" s="1162"/>
      <c r="AC704" s="729"/>
    </row>
    <row r="705" spans="1:29" ht="22.5" customHeight="1" thickTop="1" thickBot="1" x14ac:dyDescent="0.3">
      <c r="A705" s="425"/>
      <c r="B705" s="505"/>
      <c r="C705" s="505"/>
      <c r="D705" s="505"/>
      <c r="E705" s="505"/>
      <c r="F705" s="505"/>
      <c r="G705" s="505"/>
      <c r="H705" s="505"/>
      <c r="I705" s="505"/>
      <c r="J705" s="505"/>
      <c r="K705" s="609"/>
      <c r="L705" s="1161"/>
      <c r="M705" s="1161"/>
      <c r="N705" s="1161"/>
      <c r="O705" s="1161"/>
      <c r="P705" s="1161"/>
      <c r="Q705" s="1161"/>
      <c r="R705" s="1161"/>
      <c r="S705" s="1161"/>
      <c r="T705" s="1161"/>
      <c r="U705" s="1161"/>
      <c r="V705" s="1161"/>
      <c r="W705" s="1161"/>
      <c r="X705" s="1161"/>
      <c r="Y705" s="1161"/>
      <c r="Z705" s="1161"/>
      <c r="AA705" s="1161"/>
      <c r="AB705" s="1162"/>
      <c r="AC705" s="729"/>
    </row>
    <row r="706" spans="1:29" ht="22.5" customHeight="1" thickTop="1" thickBot="1" x14ac:dyDescent="0.3">
      <c r="A706" s="425"/>
      <c r="B706" s="505"/>
      <c r="C706" s="505"/>
      <c r="D706" s="505"/>
      <c r="E706" s="505"/>
      <c r="F706" s="505"/>
      <c r="G706" s="505"/>
      <c r="H706" s="505"/>
      <c r="I706" s="505"/>
      <c r="J706" s="505"/>
      <c r="K706" s="609"/>
      <c r="L706" s="1161"/>
      <c r="M706" s="1161"/>
      <c r="N706" s="1161"/>
      <c r="O706" s="1161"/>
      <c r="P706" s="1161"/>
      <c r="Q706" s="1161"/>
      <c r="R706" s="1161"/>
      <c r="S706" s="1161"/>
      <c r="T706" s="1161"/>
      <c r="U706" s="1161"/>
      <c r="V706" s="1161"/>
      <c r="W706" s="1161"/>
      <c r="X706" s="1161"/>
      <c r="Y706" s="1161"/>
      <c r="Z706" s="1161"/>
      <c r="AA706" s="1161"/>
      <c r="AB706" s="1162"/>
      <c r="AC706" s="729"/>
    </row>
    <row r="707" spans="1:29" ht="22.5" customHeight="1" thickTop="1" thickBot="1" x14ac:dyDescent="0.3">
      <c r="A707" s="425"/>
      <c r="B707" s="505"/>
      <c r="C707" s="505"/>
      <c r="D707" s="505"/>
      <c r="E707" s="505"/>
      <c r="F707" s="505"/>
      <c r="G707" s="505"/>
      <c r="H707" s="505"/>
      <c r="I707" s="505"/>
      <c r="J707" s="505"/>
      <c r="K707" s="609"/>
      <c r="L707" s="1161"/>
      <c r="M707" s="1161"/>
      <c r="N707" s="1161"/>
      <c r="O707" s="1161"/>
      <c r="P707" s="1161"/>
      <c r="Q707" s="1161"/>
      <c r="R707" s="1161"/>
      <c r="S707" s="1161"/>
      <c r="T707" s="1161"/>
      <c r="U707" s="1161"/>
      <c r="V707" s="1161"/>
      <c r="W707" s="1161"/>
      <c r="X707" s="1161"/>
      <c r="Y707" s="1161"/>
      <c r="Z707" s="1161"/>
      <c r="AA707" s="1161"/>
      <c r="AB707" s="1162"/>
      <c r="AC707" s="729"/>
    </row>
    <row r="708" spans="1:29" ht="22.5" customHeight="1" thickTop="1" thickBot="1" x14ac:dyDescent="0.3">
      <c r="A708" s="425"/>
      <c r="B708" s="505"/>
      <c r="C708" s="505"/>
      <c r="D708" s="505"/>
      <c r="E708" s="505"/>
      <c r="F708" s="505"/>
      <c r="G708" s="505"/>
      <c r="H708" s="505"/>
      <c r="I708" s="505"/>
      <c r="J708" s="505"/>
      <c r="K708" s="609"/>
      <c r="L708" s="1161"/>
      <c r="M708" s="1161"/>
      <c r="N708" s="1161"/>
      <c r="O708" s="1161"/>
      <c r="P708" s="1161"/>
      <c r="Q708" s="1161"/>
      <c r="R708" s="1161"/>
      <c r="S708" s="1161"/>
      <c r="T708" s="1161"/>
      <c r="U708" s="1161"/>
      <c r="V708" s="1161"/>
      <c r="W708" s="1161"/>
      <c r="X708" s="1161"/>
      <c r="Y708" s="1161"/>
      <c r="Z708" s="1161"/>
      <c r="AA708" s="1161"/>
      <c r="AB708" s="1162"/>
      <c r="AC708" s="729"/>
    </row>
    <row r="709" spans="1:29" ht="22.5" customHeight="1" thickTop="1" thickBot="1" x14ac:dyDescent="0.3">
      <c r="A709" s="425"/>
      <c r="B709" s="505"/>
      <c r="C709" s="505"/>
      <c r="D709" s="505"/>
      <c r="E709" s="505"/>
      <c r="F709" s="505"/>
      <c r="G709" s="505"/>
      <c r="H709" s="505"/>
      <c r="I709" s="505"/>
      <c r="J709" s="505"/>
      <c r="K709" s="609"/>
      <c r="L709" s="1161"/>
      <c r="M709" s="1161"/>
      <c r="N709" s="1161"/>
      <c r="O709" s="1161"/>
      <c r="P709" s="1161"/>
      <c r="Q709" s="1161"/>
      <c r="R709" s="1161"/>
      <c r="S709" s="1161"/>
      <c r="T709" s="1161"/>
      <c r="U709" s="1161"/>
      <c r="V709" s="1161"/>
      <c r="W709" s="1161"/>
      <c r="X709" s="1161"/>
      <c r="Y709" s="1161"/>
      <c r="Z709" s="1161"/>
      <c r="AA709" s="1161"/>
      <c r="AB709" s="1162"/>
      <c r="AC709" s="729"/>
    </row>
    <row r="710" spans="1:29" ht="22.5" customHeight="1" thickTop="1" thickBot="1" x14ac:dyDescent="0.3">
      <c r="A710" s="425"/>
      <c r="B710" s="505"/>
      <c r="C710" s="505"/>
      <c r="D710" s="505"/>
      <c r="E710" s="505"/>
      <c r="F710" s="505"/>
      <c r="G710" s="505"/>
      <c r="H710" s="505"/>
      <c r="I710" s="505"/>
      <c r="J710" s="505"/>
      <c r="K710" s="609"/>
      <c r="L710" s="1161"/>
      <c r="M710" s="1161"/>
      <c r="N710" s="1161"/>
      <c r="O710" s="1161"/>
      <c r="P710" s="1161"/>
      <c r="Q710" s="1161"/>
      <c r="R710" s="1161"/>
      <c r="S710" s="1161"/>
      <c r="T710" s="1161"/>
      <c r="U710" s="1161"/>
      <c r="V710" s="1161"/>
      <c r="W710" s="1161"/>
      <c r="X710" s="1161"/>
      <c r="Y710" s="1161"/>
      <c r="Z710" s="1161"/>
      <c r="AA710" s="1161"/>
      <c r="AB710" s="1162"/>
      <c r="AC710" s="729"/>
    </row>
    <row r="711" spans="1:29" ht="22.5" customHeight="1" thickTop="1" thickBot="1" x14ac:dyDescent="0.3">
      <c r="A711" s="425"/>
      <c r="B711" s="505"/>
      <c r="C711" s="505"/>
      <c r="D711" s="505"/>
      <c r="E711" s="505"/>
      <c r="F711" s="505"/>
      <c r="G711" s="505"/>
      <c r="H711" s="505"/>
      <c r="I711" s="505"/>
      <c r="J711" s="505"/>
      <c r="K711" s="609"/>
      <c r="L711" s="1161"/>
      <c r="M711" s="1161"/>
      <c r="N711" s="1161"/>
      <c r="O711" s="1161"/>
      <c r="P711" s="1161"/>
      <c r="Q711" s="1161"/>
      <c r="R711" s="1161"/>
      <c r="S711" s="1161"/>
      <c r="T711" s="1161"/>
      <c r="U711" s="1161"/>
      <c r="V711" s="1161"/>
      <c r="W711" s="1161"/>
      <c r="X711" s="1161"/>
      <c r="Y711" s="1161"/>
      <c r="Z711" s="1161"/>
      <c r="AA711" s="1161"/>
      <c r="AB711" s="1162"/>
      <c r="AC711" s="729"/>
    </row>
    <row r="712" spans="1:29" ht="22.5" customHeight="1" thickTop="1" thickBot="1" x14ac:dyDescent="0.3">
      <c r="A712" s="425"/>
      <c r="B712" s="505"/>
      <c r="C712" s="505"/>
      <c r="D712" s="505"/>
      <c r="E712" s="505"/>
      <c r="F712" s="505"/>
      <c r="G712" s="505"/>
      <c r="H712" s="505"/>
      <c r="I712" s="505"/>
      <c r="J712" s="505"/>
      <c r="K712" s="609"/>
      <c r="L712" s="1161"/>
      <c r="M712" s="1161"/>
      <c r="N712" s="1161"/>
      <c r="O712" s="1161"/>
      <c r="P712" s="1161"/>
      <c r="Q712" s="1161"/>
      <c r="R712" s="1161"/>
      <c r="S712" s="1161"/>
      <c r="T712" s="1161"/>
      <c r="U712" s="1161"/>
      <c r="V712" s="1161"/>
      <c r="W712" s="1161"/>
      <c r="X712" s="1161"/>
      <c r="Y712" s="1161"/>
      <c r="Z712" s="1161"/>
      <c r="AA712" s="1161"/>
      <c r="AB712" s="1162"/>
      <c r="AC712" s="729"/>
    </row>
    <row r="713" spans="1:29" ht="22.5" customHeight="1" thickTop="1" thickBot="1" x14ac:dyDescent="0.3">
      <c r="A713" s="425"/>
      <c r="B713" s="505"/>
      <c r="C713" s="505"/>
      <c r="D713" s="505"/>
      <c r="E713" s="505"/>
      <c r="F713" s="505"/>
      <c r="G713" s="505"/>
      <c r="H713" s="505"/>
      <c r="I713" s="505"/>
      <c r="J713" s="505"/>
      <c r="K713" s="609"/>
      <c r="L713" s="1161"/>
      <c r="M713" s="1161"/>
      <c r="N713" s="1161"/>
      <c r="O713" s="1161"/>
      <c r="P713" s="1161"/>
      <c r="Q713" s="1161"/>
      <c r="R713" s="1161"/>
      <c r="S713" s="1161"/>
      <c r="T713" s="1161"/>
      <c r="U713" s="1161"/>
      <c r="V713" s="1161"/>
      <c r="W713" s="1161"/>
      <c r="X713" s="1161"/>
      <c r="Y713" s="1161"/>
      <c r="Z713" s="1161"/>
      <c r="AA713" s="1161"/>
      <c r="AB713" s="1162"/>
      <c r="AC713" s="729"/>
    </row>
    <row r="714" spans="1:29" ht="22.5" customHeight="1" thickTop="1" thickBot="1" x14ac:dyDescent="0.3">
      <c r="A714" s="425"/>
      <c r="B714" s="505"/>
      <c r="C714" s="505"/>
      <c r="D714" s="505"/>
      <c r="E714" s="505"/>
      <c r="F714" s="505"/>
      <c r="G714" s="505"/>
      <c r="H714" s="505"/>
      <c r="I714" s="505"/>
      <c r="J714" s="505"/>
      <c r="K714" s="609"/>
      <c r="L714" s="1161"/>
      <c r="M714" s="1161"/>
      <c r="N714" s="1161"/>
      <c r="O714" s="1161"/>
      <c r="P714" s="1161"/>
      <c r="Q714" s="1161"/>
      <c r="R714" s="1161"/>
      <c r="S714" s="1161"/>
      <c r="T714" s="1161"/>
      <c r="U714" s="1161"/>
      <c r="V714" s="1161"/>
      <c r="W714" s="1161"/>
      <c r="X714" s="1161"/>
      <c r="Y714" s="1161"/>
      <c r="Z714" s="1161"/>
      <c r="AA714" s="1161"/>
      <c r="AB714" s="1162"/>
      <c r="AC714" s="729"/>
    </row>
    <row r="715" spans="1:29" ht="22.5" customHeight="1" thickTop="1" thickBot="1" x14ac:dyDescent="0.3">
      <c r="A715" s="425"/>
      <c r="B715" s="505"/>
      <c r="C715" s="505"/>
      <c r="D715" s="505"/>
      <c r="E715" s="505"/>
      <c r="F715" s="505"/>
      <c r="G715" s="505"/>
      <c r="H715" s="505"/>
      <c r="I715" s="505"/>
      <c r="J715" s="505"/>
      <c r="K715" s="609"/>
      <c r="L715" s="1161"/>
      <c r="M715" s="1161"/>
      <c r="N715" s="1161"/>
      <c r="O715" s="1161"/>
      <c r="P715" s="1161"/>
      <c r="Q715" s="1161"/>
      <c r="R715" s="1161"/>
      <c r="S715" s="1161"/>
      <c r="T715" s="1161"/>
      <c r="U715" s="1161"/>
      <c r="V715" s="1161"/>
      <c r="W715" s="1161"/>
      <c r="X715" s="1161"/>
      <c r="Y715" s="1161"/>
      <c r="Z715" s="1161"/>
      <c r="AA715" s="1161"/>
      <c r="AB715" s="1162"/>
      <c r="AC715" s="729"/>
    </row>
    <row r="716" spans="1:29" ht="22.5" customHeight="1" thickTop="1" thickBot="1" x14ac:dyDescent="0.3">
      <c r="A716" s="425"/>
      <c r="B716" s="505"/>
      <c r="C716" s="505"/>
      <c r="D716" s="505"/>
      <c r="E716" s="505"/>
      <c r="F716" s="505"/>
      <c r="G716" s="505"/>
      <c r="H716" s="505"/>
      <c r="I716" s="505"/>
      <c r="J716" s="505"/>
      <c r="K716" s="609"/>
      <c r="L716" s="1161"/>
      <c r="M716" s="1161"/>
      <c r="N716" s="1161"/>
      <c r="O716" s="1161"/>
      <c r="P716" s="1161"/>
      <c r="Q716" s="1161"/>
      <c r="R716" s="1161"/>
      <c r="S716" s="1161"/>
      <c r="T716" s="1161"/>
      <c r="U716" s="1161"/>
      <c r="V716" s="1161"/>
      <c r="W716" s="1161"/>
      <c r="X716" s="1161"/>
      <c r="Y716" s="1161"/>
      <c r="Z716" s="1161"/>
      <c r="AA716" s="1161"/>
      <c r="AB716" s="1162"/>
      <c r="AC716" s="729"/>
    </row>
    <row r="717" spans="1:29" ht="22.5" customHeight="1" thickTop="1" thickBot="1" x14ac:dyDescent="0.3">
      <c r="A717" s="425"/>
      <c r="B717" s="505"/>
      <c r="C717" s="505"/>
      <c r="D717" s="505"/>
      <c r="E717" s="505"/>
      <c r="F717" s="505"/>
      <c r="G717" s="505"/>
      <c r="H717" s="505"/>
      <c r="I717" s="505"/>
      <c r="J717" s="505"/>
      <c r="K717" s="609"/>
      <c r="L717" s="1161"/>
      <c r="M717" s="1161"/>
      <c r="N717" s="1161"/>
      <c r="O717" s="1161"/>
      <c r="P717" s="1161"/>
      <c r="Q717" s="1161"/>
      <c r="R717" s="1161"/>
      <c r="S717" s="1161"/>
      <c r="T717" s="1161"/>
      <c r="U717" s="1161"/>
      <c r="V717" s="1161"/>
      <c r="W717" s="1161"/>
      <c r="X717" s="1161"/>
      <c r="Y717" s="1161"/>
      <c r="Z717" s="1161"/>
      <c r="AA717" s="1161"/>
      <c r="AB717" s="1162"/>
      <c r="AC717" s="729"/>
    </row>
    <row r="718" spans="1:29" ht="22.5" customHeight="1" thickTop="1" thickBot="1" x14ac:dyDescent="0.3">
      <c r="A718" s="425"/>
      <c r="B718" s="505"/>
      <c r="C718" s="505"/>
      <c r="D718" s="505"/>
      <c r="E718" s="505"/>
      <c r="F718" s="505"/>
      <c r="G718" s="505"/>
      <c r="H718" s="505"/>
      <c r="I718" s="505"/>
      <c r="J718" s="505"/>
      <c r="K718" s="609"/>
      <c r="L718" s="1161"/>
      <c r="M718" s="1161"/>
      <c r="N718" s="1161"/>
      <c r="O718" s="1161"/>
      <c r="P718" s="1161"/>
      <c r="Q718" s="1161"/>
      <c r="R718" s="1161"/>
      <c r="S718" s="1161"/>
      <c r="T718" s="1161"/>
      <c r="U718" s="1161"/>
      <c r="V718" s="1161"/>
      <c r="W718" s="1161"/>
      <c r="X718" s="1161"/>
      <c r="Y718" s="1161"/>
      <c r="Z718" s="1161"/>
      <c r="AA718" s="1161"/>
      <c r="AB718" s="1162"/>
      <c r="AC718" s="729"/>
    </row>
    <row r="719" spans="1:29" ht="22.5" customHeight="1" thickTop="1" thickBot="1" x14ac:dyDescent="0.3">
      <c r="A719" s="425"/>
      <c r="B719" s="505"/>
      <c r="C719" s="505"/>
      <c r="D719" s="505"/>
      <c r="E719" s="505"/>
      <c r="F719" s="505"/>
      <c r="G719" s="505"/>
      <c r="H719" s="505"/>
      <c r="I719" s="505"/>
      <c r="J719" s="505"/>
      <c r="K719" s="609"/>
      <c r="L719" s="1161"/>
      <c r="M719" s="1161"/>
      <c r="N719" s="1161"/>
      <c r="O719" s="1161"/>
      <c r="P719" s="1161"/>
      <c r="Q719" s="1161"/>
      <c r="R719" s="1161"/>
      <c r="S719" s="1161"/>
      <c r="T719" s="1161"/>
      <c r="U719" s="1161"/>
      <c r="V719" s="1161"/>
      <c r="W719" s="1161"/>
      <c r="X719" s="1161"/>
      <c r="Y719" s="1161"/>
      <c r="Z719" s="1161"/>
      <c r="AA719" s="1161"/>
      <c r="AB719" s="1162"/>
      <c r="AC719" s="729"/>
    </row>
    <row r="720" spans="1:29" ht="22.5" customHeight="1" thickTop="1" thickBot="1" x14ac:dyDescent="0.3">
      <c r="A720" s="425"/>
      <c r="B720" s="505"/>
      <c r="C720" s="505"/>
      <c r="D720" s="505"/>
      <c r="E720" s="505"/>
      <c r="F720" s="505"/>
      <c r="G720" s="505"/>
      <c r="H720" s="505"/>
      <c r="I720" s="505"/>
      <c r="J720" s="505"/>
      <c r="K720" s="609"/>
      <c r="L720" s="1161"/>
      <c r="M720" s="1161"/>
      <c r="N720" s="1161"/>
      <c r="O720" s="1161"/>
      <c r="P720" s="1161"/>
      <c r="Q720" s="1161"/>
      <c r="R720" s="1161"/>
      <c r="S720" s="1161"/>
      <c r="T720" s="1161"/>
      <c r="U720" s="1161"/>
      <c r="V720" s="1161"/>
      <c r="W720" s="1161"/>
      <c r="X720" s="1161"/>
      <c r="Y720" s="1161"/>
      <c r="Z720" s="1161"/>
      <c r="AA720" s="1161"/>
      <c r="AB720" s="1162"/>
      <c r="AC720" s="729"/>
    </row>
    <row r="721" spans="1:29" ht="22.5" customHeight="1" thickTop="1" thickBot="1" x14ac:dyDescent="0.3">
      <c r="A721" s="425"/>
      <c r="B721" s="505"/>
      <c r="C721" s="505"/>
      <c r="D721" s="505"/>
      <c r="E721" s="505"/>
      <c r="F721" s="505"/>
      <c r="G721" s="505"/>
      <c r="H721" s="505"/>
      <c r="I721" s="505"/>
      <c r="J721" s="505"/>
      <c r="K721" s="609"/>
      <c r="L721" s="1161"/>
      <c r="M721" s="1161"/>
      <c r="N721" s="1161"/>
      <c r="O721" s="1161"/>
      <c r="P721" s="1161"/>
      <c r="Q721" s="1161"/>
      <c r="R721" s="1161"/>
      <c r="S721" s="1161"/>
      <c r="T721" s="1161"/>
      <c r="U721" s="1161"/>
      <c r="V721" s="1161"/>
      <c r="W721" s="1161"/>
      <c r="X721" s="1161"/>
      <c r="Y721" s="1161"/>
      <c r="Z721" s="1161"/>
      <c r="AA721" s="1161"/>
      <c r="AB721" s="1162"/>
      <c r="AC721" s="729"/>
    </row>
    <row r="722" spans="1:29" ht="22.5" customHeight="1" thickTop="1" thickBot="1" x14ac:dyDescent="0.3">
      <c r="A722" s="425"/>
      <c r="B722" s="505"/>
      <c r="C722" s="505"/>
      <c r="D722" s="505"/>
      <c r="E722" s="505"/>
      <c r="F722" s="505"/>
      <c r="G722" s="505"/>
      <c r="H722" s="505"/>
      <c r="I722" s="505"/>
      <c r="J722" s="505"/>
      <c r="K722" s="609"/>
      <c r="L722" s="1161"/>
      <c r="M722" s="1161"/>
      <c r="N722" s="1161"/>
      <c r="O722" s="1161"/>
      <c r="P722" s="1161"/>
      <c r="Q722" s="1161"/>
      <c r="R722" s="1161"/>
      <c r="S722" s="1161"/>
      <c r="T722" s="1161"/>
      <c r="U722" s="1161"/>
      <c r="V722" s="1161"/>
      <c r="W722" s="1161"/>
      <c r="X722" s="1161"/>
      <c r="Y722" s="1161"/>
      <c r="Z722" s="1161"/>
      <c r="AA722" s="1161"/>
      <c r="AB722" s="1162"/>
      <c r="AC722" s="729"/>
    </row>
    <row r="723" spans="1:29" ht="22.5" customHeight="1" thickTop="1" thickBot="1" x14ac:dyDescent="0.3">
      <c r="A723" s="425"/>
      <c r="B723" s="505"/>
      <c r="C723" s="505"/>
      <c r="D723" s="505"/>
      <c r="E723" s="505"/>
      <c r="F723" s="505"/>
      <c r="G723" s="505"/>
      <c r="H723" s="505"/>
      <c r="I723" s="505"/>
      <c r="J723" s="505"/>
      <c r="K723" s="609"/>
      <c r="L723" s="1161"/>
      <c r="M723" s="1161"/>
      <c r="N723" s="1161"/>
      <c r="O723" s="1161"/>
      <c r="P723" s="1161"/>
      <c r="Q723" s="1161"/>
      <c r="R723" s="1161"/>
      <c r="S723" s="1161"/>
      <c r="T723" s="1161"/>
      <c r="U723" s="1161"/>
      <c r="V723" s="1161"/>
      <c r="W723" s="1161"/>
      <c r="X723" s="1161"/>
      <c r="Y723" s="1161"/>
      <c r="Z723" s="1161"/>
      <c r="AA723" s="1161"/>
      <c r="AB723" s="1162"/>
      <c r="AC723" s="729"/>
    </row>
    <row r="724" spans="1:29" ht="22.5" customHeight="1" thickTop="1" thickBot="1" x14ac:dyDescent="0.3">
      <c r="A724" s="425"/>
      <c r="B724" s="505"/>
      <c r="C724" s="505"/>
      <c r="D724" s="505"/>
      <c r="E724" s="505"/>
      <c r="F724" s="505"/>
      <c r="G724" s="505"/>
      <c r="H724" s="505"/>
      <c r="I724" s="505"/>
      <c r="J724" s="505"/>
      <c r="K724" s="609"/>
      <c r="L724" s="1161"/>
      <c r="M724" s="1161"/>
      <c r="N724" s="1161"/>
      <c r="O724" s="1161"/>
      <c r="P724" s="1161"/>
      <c r="Q724" s="1161"/>
      <c r="R724" s="1161"/>
      <c r="S724" s="1161"/>
      <c r="T724" s="1161"/>
      <c r="U724" s="1161"/>
      <c r="V724" s="1161"/>
      <c r="W724" s="1161"/>
      <c r="X724" s="1161"/>
      <c r="Y724" s="1161"/>
      <c r="Z724" s="1161"/>
      <c r="AA724" s="1161"/>
      <c r="AB724" s="1162"/>
      <c r="AC724" s="729"/>
    </row>
    <row r="725" spans="1:29" ht="22.5" customHeight="1" thickTop="1" thickBot="1" x14ac:dyDescent="0.3">
      <c r="A725" s="425"/>
      <c r="B725" s="505"/>
      <c r="C725" s="505"/>
      <c r="D725" s="505"/>
      <c r="E725" s="505"/>
      <c r="F725" s="505"/>
      <c r="G725" s="505"/>
      <c r="H725" s="505"/>
      <c r="I725" s="505"/>
      <c r="J725" s="505"/>
      <c r="K725" s="609"/>
      <c r="L725" s="1161"/>
      <c r="M725" s="1161"/>
      <c r="N725" s="1161"/>
      <c r="O725" s="1161"/>
      <c r="P725" s="1161"/>
      <c r="Q725" s="1161"/>
      <c r="R725" s="1161"/>
      <c r="S725" s="1161"/>
      <c r="T725" s="1161"/>
      <c r="U725" s="1161"/>
      <c r="V725" s="1161"/>
      <c r="W725" s="1161"/>
      <c r="X725" s="1161"/>
      <c r="Y725" s="1161"/>
      <c r="Z725" s="1161"/>
      <c r="AA725" s="1161"/>
      <c r="AB725" s="1162"/>
      <c r="AC725" s="729"/>
    </row>
    <row r="726" spans="1:29" ht="22.5" customHeight="1" thickTop="1" thickBot="1" x14ac:dyDescent="0.3">
      <c r="A726" s="425"/>
      <c r="B726" s="505"/>
      <c r="C726" s="505"/>
      <c r="D726" s="505"/>
      <c r="E726" s="505"/>
      <c r="F726" s="505"/>
      <c r="G726" s="505"/>
      <c r="H726" s="505"/>
      <c r="I726" s="505"/>
      <c r="J726" s="505"/>
      <c r="K726" s="609"/>
      <c r="L726" s="1161"/>
      <c r="M726" s="1161"/>
      <c r="N726" s="1161"/>
      <c r="O726" s="1161"/>
      <c r="P726" s="1161"/>
      <c r="Q726" s="1161"/>
      <c r="R726" s="1161"/>
      <c r="S726" s="1161"/>
      <c r="T726" s="1161"/>
      <c r="U726" s="1161"/>
      <c r="V726" s="1161"/>
      <c r="W726" s="1161"/>
      <c r="X726" s="1161"/>
      <c r="Y726" s="1161"/>
      <c r="Z726" s="1161"/>
      <c r="AA726" s="1161"/>
      <c r="AB726" s="1162"/>
      <c r="AC726" s="729"/>
    </row>
    <row r="727" spans="1:29" ht="22.5" customHeight="1" thickTop="1" thickBot="1" x14ac:dyDescent="0.3">
      <c r="A727" s="425"/>
      <c r="B727" s="505"/>
      <c r="C727" s="505"/>
      <c r="D727" s="505"/>
      <c r="E727" s="505"/>
      <c r="F727" s="505"/>
      <c r="G727" s="505"/>
      <c r="H727" s="505"/>
      <c r="I727" s="505"/>
      <c r="J727" s="505"/>
      <c r="K727" s="609"/>
      <c r="L727" s="1161"/>
      <c r="M727" s="1161"/>
      <c r="N727" s="1161"/>
      <c r="O727" s="1161"/>
      <c r="P727" s="1161"/>
      <c r="Q727" s="1161"/>
      <c r="R727" s="1161"/>
      <c r="S727" s="1161"/>
      <c r="T727" s="1161"/>
      <c r="U727" s="1161"/>
      <c r="V727" s="1161"/>
      <c r="W727" s="1161"/>
      <c r="X727" s="1161"/>
      <c r="Y727" s="1161"/>
      <c r="Z727" s="1161"/>
      <c r="AA727" s="1161"/>
      <c r="AB727" s="1162"/>
      <c r="AC727" s="729"/>
    </row>
    <row r="728" spans="1:29" ht="22.5" customHeight="1" thickTop="1" thickBot="1" x14ac:dyDescent="0.3">
      <c r="A728" s="425"/>
      <c r="B728" s="505"/>
      <c r="C728" s="505"/>
      <c r="D728" s="505"/>
      <c r="E728" s="505"/>
      <c r="F728" s="505"/>
      <c r="G728" s="505"/>
      <c r="H728" s="505"/>
      <c r="I728" s="505"/>
      <c r="J728" s="505"/>
      <c r="K728" s="609"/>
      <c r="L728" s="1161"/>
      <c r="M728" s="1161"/>
      <c r="N728" s="1161"/>
      <c r="O728" s="1161"/>
      <c r="P728" s="1161"/>
      <c r="Q728" s="1161"/>
      <c r="R728" s="1161"/>
      <c r="S728" s="1161"/>
      <c r="T728" s="1161"/>
      <c r="U728" s="1161"/>
      <c r="V728" s="1161"/>
      <c r="W728" s="1161"/>
      <c r="X728" s="1161"/>
      <c r="Y728" s="1161"/>
      <c r="Z728" s="1161"/>
      <c r="AA728" s="1161"/>
      <c r="AB728" s="1162"/>
      <c r="AC728" s="729"/>
    </row>
    <row r="729" spans="1:29" ht="22.5" customHeight="1" thickTop="1" thickBot="1" x14ac:dyDescent="0.3">
      <c r="A729" s="425"/>
      <c r="B729" s="505"/>
      <c r="C729" s="505"/>
      <c r="D729" s="505"/>
      <c r="E729" s="505"/>
      <c r="F729" s="505"/>
      <c r="G729" s="505"/>
      <c r="H729" s="505"/>
      <c r="I729" s="505"/>
      <c r="J729" s="505"/>
      <c r="K729" s="609"/>
      <c r="L729" s="1161"/>
      <c r="M729" s="1161"/>
      <c r="N729" s="1161"/>
      <c r="O729" s="1161"/>
      <c r="P729" s="1161"/>
      <c r="Q729" s="1161"/>
      <c r="R729" s="1161"/>
      <c r="S729" s="1161"/>
      <c r="T729" s="1161"/>
      <c r="U729" s="1161"/>
      <c r="V729" s="1161"/>
      <c r="W729" s="1161"/>
      <c r="X729" s="1161"/>
      <c r="Y729" s="1161"/>
      <c r="Z729" s="1161"/>
      <c r="AA729" s="1161"/>
      <c r="AB729" s="1162"/>
      <c r="AC729" s="729"/>
    </row>
    <row r="730" spans="1:29" ht="22.5" customHeight="1" thickTop="1" thickBot="1" x14ac:dyDescent="0.3">
      <c r="A730" s="425"/>
      <c r="B730" s="505"/>
      <c r="C730" s="505"/>
      <c r="D730" s="505"/>
      <c r="E730" s="505"/>
      <c r="F730" s="505"/>
      <c r="G730" s="505"/>
      <c r="H730" s="505"/>
      <c r="I730" s="505"/>
      <c r="J730" s="505"/>
      <c r="K730" s="609"/>
      <c r="L730" s="1161"/>
      <c r="M730" s="1161"/>
      <c r="N730" s="1161"/>
      <c r="O730" s="1161"/>
      <c r="P730" s="1161"/>
      <c r="Q730" s="1161"/>
      <c r="R730" s="1161"/>
      <c r="S730" s="1161"/>
      <c r="T730" s="1161"/>
      <c r="U730" s="1161"/>
      <c r="V730" s="1161"/>
      <c r="W730" s="1161"/>
      <c r="X730" s="1161"/>
      <c r="Y730" s="1161"/>
      <c r="Z730" s="1161"/>
      <c r="AA730" s="1161"/>
      <c r="AB730" s="1162"/>
      <c r="AC730" s="729"/>
    </row>
    <row r="731" spans="1:29" ht="22.5" customHeight="1" thickTop="1" thickBot="1" x14ac:dyDescent="0.3">
      <c r="A731" s="425"/>
      <c r="B731" s="505"/>
      <c r="C731" s="505"/>
      <c r="D731" s="505"/>
      <c r="E731" s="505"/>
      <c r="F731" s="505"/>
      <c r="G731" s="505"/>
      <c r="H731" s="505"/>
      <c r="I731" s="505"/>
      <c r="J731" s="505"/>
      <c r="K731" s="609"/>
      <c r="L731" s="1161"/>
      <c r="M731" s="1161"/>
      <c r="N731" s="1161"/>
      <c r="O731" s="1161"/>
      <c r="P731" s="1161"/>
      <c r="Q731" s="1161"/>
      <c r="R731" s="1161"/>
      <c r="S731" s="1161"/>
      <c r="T731" s="1161"/>
      <c r="U731" s="1161"/>
      <c r="V731" s="1161"/>
      <c r="W731" s="1161"/>
      <c r="X731" s="1161"/>
      <c r="Y731" s="1161"/>
      <c r="Z731" s="1161"/>
      <c r="AA731" s="1161"/>
      <c r="AB731" s="1162"/>
      <c r="AC731" s="729"/>
    </row>
    <row r="732" spans="1:29" ht="22.5" customHeight="1" thickTop="1" thickBot="1" x14ac:dyDescent="0.3">
      <c r="A732" s="425"/>
      <c r="B732" s="505"/>
      <c r="C732" s="505"/>
      <c r="D732" s="505"/>
      <c r="E732" s="505"/>
      <c r="F732" s="505"/>
      <c r="G732" s="505"/>
      <c r="H732" s="505"/>
      <c r="I732" s="505"/>
      <c r="J732" s="505"/>
      <c r="K732" s="609"/>
      <c r="L732" s="1161"/>
      <c r="M732" s="1161"/>
      <c r="N732" s="1161"/>
      <c r="O732" s="1161"/>
      <c r="P732" s="1161"/>
      <c r="Q732" s="1161"/>
      <c r="R732" s="1161"/>
      <c r="S732" s="1161"/>
      <c r="T732" s="1161"/>
      <c r="U732" s="1161"/>
      <c r="V732" s="1161"/>
      <c r="W732" s="1161"/>
      <c r="X732" s="1161"/>
      <c r="Y732" s="1161"/>
      <c r="Z732" s="1161"/>
      <c r="AA732" s="1161"/>
      <c r="AB732" s="1162"/>
      <c r="AC732" s="729"/>
    </row>
    <row r="733" spans="1:29" ht="22.5" customHeight="1" thickTop="1" thickBot="1" x14ac:dyDescent="0.3">
      <c r="A733" s="425"/>
      <c r="B733" s="505"/>
      <c r="C733" s="505"/>
      <c r="D733" s="505"/>
      <c r="E733" s="505"/>
      <c r="F733" s="505"/>
      <c r="G733" s="505"/>
      <c r="H733" s="505"/>
      <c r="I733" s="505"/>
      <c r="J733" s="505"/>
      <c r="K733" s="609"/>
      <c r="L733" s="1161"/>
      <c r="M733" s="1161"/>
      <c r="N733" s="1161"/>
      <c r="O733" s="1161"/>
      <c r="P733" s="1161"/>
      <c r="Q733" s="1161"/>
      <c r="R733" s="1161"/>
      <c r="S733" s="1161"/>
      <c r="T733" s="1161"/>
      <c r="U733" s="1161"/>
      <c r="V733" s="1161"/>
      <c r="W733" s="1161"/>
      <c r="X733" s="1161"/>
      <c r="Y733" s="1161"/>
      <c r="Z733" s="1161"/>
      <c r="AA733" s="1161"/>
      <c r="AB733" s="1162"/>
      <c r="AC733" s="729"/>
    </row>
    <row r="734" spans="1:29" ht="22.5" customHeight="1" thickTop="1" thickBot="1" x14ac:dyDescent="0.3">
      <c r="A734" s="425"/>
      <c r="B734" s="505"/>
      <c r="C734" s="505"/>
      <c r="D734" s="505"/>
      <c r="E734" s="505"/>
      <c r="F734" s="505"/>
      <c r="G734" s="505"/>
      <c r="H734" s="505"/>
      <c r="I734" s="505"/>
      <c r="J734" s="505"/>
      <c r="K734" s="609"/>
      <c r="L734" s="1161"/>
      <c r="M734" s="1161"/>
      <c r="N734" s="1161"/>
      <c r="O734" s="1161"/>
      <c r="P734" s="1161"/>
      <c r="Q734" s="1161"/>
      <c r="R734" s="1161"/>
      <c r="S734" s="1161"/>
      <c r="T734" s="1161"/>
      <c r="U734" s="1161"/>
      <c r="V734" s="1161"/>
      <c r="W734" s="1161"/>
      <c r="X734" s="1161"/>
      <c r="Y734" s="1161"/>
      <c r="Z734" s="1161"/>
      <c r="AA734" s="1161"/>
      <c r="AB734" s="1162"/>
      <c r="AC734" s="729"/>
    </row>
    <row r="735" spans="1:29" ht="22.5" customHeight="1" thickTop="1" thickBot="1" x14ac:dyDescent="0.3">
      <c r="A735" s="425"/>
      <c r="B735" s="505"/>
      <c r="C735" s="505"/>
      <c r="D735" s="505"/>
      <c r="E735" s="505"/>
      <c r="F735" s="505"/>
      <c r="G735" s="505"/>
      <c r="H735" s="505"/>
      <c r="I735" s="505"/>
      <c r="J735" s="505"/>
      <c r="K735" s="609"/>
      <c r="L735" s="1161"/>
      <c r="M735" s="1161"/>
      <c r="N735" s="1161"/>
      <c r="O735" s="1161"/>
      <c r="P735" s="1161"/>
      <c r="Q735" s="1161"/>
      <c r="R735" s="1161"/>
      <c r="S735" s="1161"/>
      <c r="T735" s="1161"/>
      <c r="U735" s="1161"/>
      <c r="V735" s="1161"/>
      <c r="W735" s="1161"/>
      <c r="X735" s="1161"/>
      <c r="Y735" s="1161"/>
      <c r="Z735" s="1161"/>
      <c r="AA735" s="1161"/>
      <c r="AB735" s="1162"/>
      <c r="AC735" s="729"/>
    </row>
    <row r="736" spans="1:29" ht="22.5" customHeight="1" thickTop="1" thickBot="1" x14ac:dyDescent="0.3">
      <c r="A736" s="425"/>
      <c r="B736" s="505"/>
      <c r="C736" s="505"/>
      <c r="D736" s="505"/>
      <c r="E736" s="505"/>
      <c r="F736" s="505"/>
      <c r="G736" s="505"/>
      <c r="H736" s="505"/>
      <c r="I736" s="505"/>
      <c r="J736" s="505"/>
      <c r="K736" s="609"/>
      <c r="L736" s="1161"/>
      <c r="M736" s="1161"/>
      <c r="N736" s="1161"/>
      <c r="O736" s="1161"/>
      <c r="P736" s="1161"/>
      <c r="Q736" s="1161"/>
      <c r="R736" s="1161"/>
      <c r="S736" s="1161"/>
      <c r="T736" s="1161"/>
      <c r="U736" s="1161"/>
      <c r="V736" s="1161"/>
      <c r="W736" s="1161"/>
      <c r="X736" s="1161"/>
      <c r="Y736" s="1161"/>
      <c r="Z736" s="1161"/>
      <c r="AA736" s="1161"/>
      <c r="AB736" s="1162"/>
      <c r="AC736" s="729"/>
    </row>
    <row r="737" spans="1:29" ht="22.5" customHeight="1" thickTop="1" thickBot="1" x14ac:dyDescent="0.3">
      <c r="A737" s="425"/>
      <c r="B737" s="505"/>
      <c r="C737" s="505"/>
      <c r="D737" s="505"/>
      <c r="E737" s="505"/>
      <c r="F737" s="505"/>
      <c r="G737" s="505"/>
      <c r="H737" s="505"/>
      <c r="I737" s="505"/>
      <c r="J737" s="505"/>
      <c r="K737" s="609"/>
      <c r="L737" s="1161"/>
      <c r="M737" s="1161"/>
      <c r="N737" s="1161"/>
      <c r="O737" s="1161"/>
      <c r="P737" s="1161"/>
      <c r="Q737" s="1161"/>
      <c r="R737" s="1161"/>
      <c r="S737" s="1161"/>
      <c r="T737" s="1161"/>
      <c r="U737" s="1161"/>
      <c r="V737" s="1161"/>
      <c r="W737" s="1161"/>
      <c r="X737" s="1161"/>
      <c r="Y737" s="1161"/>
      <c r="Z737" s="1161"/>
      <c r="AA737" s="1161"/>
      <c r="AB737" s="1162"/>
      <c r="AC737" s="729"/>
    </row>
    <row r="738" spans="1:29" ht="22.5" customHeight="1" thickTop="1" thickBot="1" x14ac:dyDescent="0.3">
      <c r="A738" s="425"/>
      <c r="B738" s="505"/>
      <c r="C738" s="505"/>
      <c r="D738" s="505"/>
      <c r="E738" s="505"/>
      <c r="F738" s="505"/>
      <c r="G738" s="505"/>
      <c r="H738" s="505"/>
      <c r="I738" s="505"/>
      <c r="J738" s="505"/>
      <c r="K738" s="609"/>
      <c r="L738" s="1161"/>
      <c r="M738" s="1161"/>
      <c r="N738" s="1161"/>
      <c r="O738" s="1161"/>
      <c r="P738" s="1161"/>
      <c r="Q738" s="1161"/>
      <c r="R738" s="1161"/>
      <c r="S738" s="1161"/>
      <c r="T738" s="1161"/>
      <c r="U738" s="1161"/>
      <c r="V738" s="1161"/>
      <c r="W738" s="1161"/>
      <c r="X738" s="1161"/>
      <c r="Y738" s="1161"/>
      <c r="Z738" s="1161"/>
      <c r="AA738" s="1161"/>
      <c r="AB738" s="1162"/>
      <c r="AC738" s="729"/>
    </row>
    <row r="739" spans="1:29" ht="22.5" customHeight="1" thickTop="1" thickBot="1" x14ac:dyDescent="0.3">
      <c r="A739" s="425"/>
      <c r="B739" s="505"/>
      <c r="C739" s="505"/>
      <c r="D739" s="505"/>
      <c r="E739" s="505"/>
      <c r="F739" s="505"/>
      <c r="G739" s="505"/>
      <c r="H739" s="505"/>
      <c r="I739" s="505"/>
      <c r="J739" s="505"/>
      <c r="K739" s="609"/>
      <c r="L739" s="1161"/>
      <c r="M739" s="1161"/>
      <c r="N739" s="1161"/>
      <c r="O739" s="1161"/>
      <c r="P739" s="1161"/>
      <c r="Q739" s="1161"/>
      <c r="R739" s="1161"/>
      <c r="S739" s="1161"/>
      <c r="T739" s="1161"/>
      <c r="U739" s="1161"/>
      <c r="V739" s="1161"/>
      <c r="W739" s="1161"/>
      <c r="X739" s="1161"/>
      <c r="Y739" s="1161"/>
      <c r="Z739" s="1161"/>
      <c r="AA739" s="1161"/>
      <c r="AB739" s="1162"/>
      <c r="AC739" s="729"/>
    </row>
    <row r="740" spans="1:29" ht="22.5" customHeight="1" thickTop="1" thickBot="1" x14ac:dyDescent="0.3">
      <c r="A740" s="425"/>
      <c r="B740" s="505"/>
      <c r="C740" s="505"/>
      <c r="D740" s="505"/>
      <c r="E740" s="505"/>
      <c r="F740" s="505"/>
      <c r="G740" s="505"/>
      <c r="H740" s="505"/>
      <c r="I740" s="505"/>
      <c r="J740" s="505"/>
      <c r="K740" s="609"/>
      <c r="L740" s="1161"/>
      <c r="M740" s="1161"/>
      <c r="N740" s="1161"/>
      <c r="O740" s="1161"/>
      <c r="P740" s="1161"/>
      <c r="Q740" s="1161"/>
      <c r="R740" s="1161"/>
      <c r="S740" s="1161"/>
      <c r="T740" s="1161"/>
      <c r="U740" s="1161"/>
      <c r="V740" s="1161"/>
      <c r="W740" s="1161"/>
      <c r="X740" s="1161"/>
      <c r="Y740" s="1161"/>
      <c r="Z740" s="1161"/>
      <c r="AA740" s="1161"/>
      <c r="AB740" s="1162"/>
      <c r="AC740" s="729"/>
    </row>
    <row r="741" spans="1:29" ht="22.5" customHeight="1" thickTop="1" thickBot="1" x14ac:dyDescent="0.3">
      <c r="A741" s="425"/>
      <c r="B741" s="505"/>
      <c r="C741" s="505"/>
      <c r="D741" s="505"/>
      <c r="E741" s="505"/>
      <c r="F741" s="505"/>
      <c r="G741" s="505"/>
      <c r="H741" s="505"/>
      <c r="I741" s="505"/>
      <c r="J741" s="505"/>
      <c r="K741" s="609"/>
      <c r="L741" s="1161"/>
      <c r="M741" s="1161"/>
      <c r="N741" s="1161"/>
      <c r="O741" s="1161"/>
      <c r="P741" s="1161"/>
      <c r="Q741" s="1161"/>
      <c r="R741" s="1161"/>
      <c r="S741" s="1161"/>
      <c r="T741" s="1161"/>
      <c r="U741" s="1161"/>
      <c r="V741" s="1161"/>
      <c r="W741" s="1161"/>
      <c r="X741" s="1161"/>
      <c r="Y741" s="1161"/>
      <c r="Z741" s="1161"/>
      <c r="AA741" s="1161"/>
      <c r="AB741" s="1162"/>
      <c r="AC741" s="729"/>
    </row>
    <row r="742" spans="1:29" ht="22.5" customHeight="1" thickTop="1" thickBot="1" x14ac:dyDescent="0.3">
      <c r="A742" s="425"/>
      <c r="B742" s="505"/>
      <c r="C742" s="505"/>
      <c r="D742" s="505"/>
      <c r="E742" s="505"/>
      <c r="F742" s="505"/>
      <c r="G742" s="505"/>
      <c r="H742" s="505"/>
      <c r="I742" s="505"/>
      <c r="J742" s="505"/>
      <c r="K742" s="609"/>
      <c r="L742" s="1161"/>
      <c r="M742" s="1161"/>
      <c r="N742" s="1161"/>
      <c r="O742" s="1161"/>
      <c r="P742" s="1161"/>
      <c r="Q742" s="1161"/>
      <c r="R742" s="1161"/>
      <c r="S742" s="1161"/>
      <c r="T742" s="1161"/>
      <c r="U742" s="1161"/>
      <c r="V742" s="1161"/>
      <c r="W742" s="1161"/>
      <c r="X742" s="1161"/>
      <c r="Y742" s="1161"/>
      <c r="Z742" s="1161"/>
      <c r="AA742" s="1161"/>
      <c r="AB742" s="1162"/>
      <c r="AC742" s="729"/>
    </row>
    <row r="743" spans="1:29" ht="22.5" customHeight="1" thickTop="1" thickBot="1" x14ac:dyDescent="0.3">
      <c r="A743" s="425"/>
      <c r="B743" s="505"/>
      <c r="C743" s="505"/>
      <c r="D743" s="505"/>
      <c r="E743" s="505"/>
      <c r="F743" s="505"/>
      <c r="G743" s="505"/>
      <c r="H743" s="505"/>
      <c r="I743" s="505"/>
      <c r="J743" s="505"/>
      <c r="K743" s="609"/>
      <c r="L743" s="1161"/>
      <c r="M743" s="1161"/>
      <c r="N743" s="1161"/>
      <c r="O743" s="1161"/>
      <c r="P743" s="1161"/>
      <c r="Q743" s="1161"/>
      <c r="R743" s="1161"/>
      <c r="S743" s="1161"/>
      <c r="T743" s="1161"/>
      <c r="U743" s="1161"/>
      <c r="V743" s="1161"/>
      <c r="W743" s="1161"/>
      <c r="X743" s="1161"/>
      <c r="Y743" s="1161"/>
      <c r="Z743" s="1161"/>
      <c r="AA743" s="1161"/>
      <c r="AB743" s="1162"/>
      <c r="AC743" s="729"/>
    </row>
    <row r="744" spans="1:29" ht="22.5" customHeight="1" thickTop="1" thickBot="1" x14ac:dyDescent="0.3">
      <c r="A744" s="425"/>
      <c r="B744" s="505"/>
      <c r="C744" s="505"/>
      <c r="D744" s="505"/>
      <c r="E744" s="505"/>
      <c r="F744" s="505"/>
      <c r="G744" s="505"/>
      <c r="H744" s="505"/>
      <c r="I744" s="505"/>
      <c r="J744" s="505"/>
      <c r="K744" s="609"/>
      <c r="L744" s="1161"/>
      <c r="M744" s="1161"/>
      <c r="N744" s="1161"/>
      <c r="O744" s="1161"/>
      <c r="P744" s="1161"/>
      <c r="Q744" s="1161"/>
      <c r="R744" s="1161"/>
      <c r="S744" s="1161"/>
      <c r="T744" s="1161"/>
      <c r="U744" s="1161"/>
      <c r="V744" s="1161"/>
      <c r="W744" s="1161"/>
      <c r="X744" s="1161"/>
      <c r="Y744" s="1161"/>
      <c r="Z744" s="1161"/>
      <c r="AA744" s="1161"/>
      <c r="AB744" s="1162"/>
      <c r="AC744" s="729"/>
    </row>
    <row r="745" spans="1:29" ht="22.5" customHeight="1" thickTop="1" thickBot="1" x14ac:dyDescent="0.3">
      <c r="A745" s="425"/>
      <c r="B745" s="505"/>
      <c r="C745" s="505"/>
      <c r="D745" s="505"/>
      <c r="E745" s="505"/>
      <c r="F745" s="505"/>
      <c r="G745" s="505"/>
      <c r="H745" s="505"/>
      <c r="I745" s="505"/>
      <c r="J745" s="505"/>
      <c r="K745" s="609"/>
      <c r="L745" s="1161"/>
      <c r="M745" s="1161"/>
      <c r="N745" s="1161"/>
      <c r="O745" s="1161"/>
      <c r="P745" s="1161"/>
      <c r="Q745" s="1161"/>
      <c r="R745" s="1161"/>
      <c r="S745" s="1161"/>
      <c r="T745" s="1161"/>
      <c r="U745" s="1161"/>
      <c r="V745" s="1161"/>
      <c r="W745" s="1161"/>
      <c r="X745" s="1161"/>
      <c r="Y745" s="1161"/>
      <c r="Z745" s="1161"/>
      <c r="AA745" s="1161"/>
      <c r="AB745" s="1162"/>
      <c r="AC745" s="729"/>
    </row>
    <row r="746" spans="1:29" ht="22.5" customHeight="1" thickTop="1" thickBot="1" x14ac:dyDescent="0.3">
      <c r="A746" s="425"/>
      <c r="B746" s="505"/>
      <c r="C746" s="505"/>
      <c r="D746" s="505"/>
      <c r="E746" s="505"/>
      <c r="F746" s="505"/>
      <c r="G746" s="505"/>
      <c r="H746" s="505"/>
      <c r="I746" s="505"/>
      <c r="J746" s="505"/>
      <c r="K746" s="609"/>
      <c r="L746" s="1161"/>
      <c r="M746" s="1161"/>
      <c r="N746" s="1161"/>
      <c r="O746" s="1161"/>
      <c r="P746" s="1161"/>
      <c r="Q746" s="1161"/>
      <c r="R746" s="1161"/>
      <c r="S746" s="1161"/>
      <c r="T746" s="1161"/>
      <c r="U746" s="1161"/>
      <c r="V746" s="1161"/>
      <c r="W746" s="1161"/>
      <c r="X746" s="1161"/>
      <c r="Y746" s="1161"/>
      <c r="Z746" s="1161"/>
      <c r="AA746" s="1161"/>
      <c r="AB746" s="1162"/>
      <c r="AC746" s="729"/>
    </row>
    <row r="747" spans="1:29" ht="22.5" customHeight="1" thickTop="1" thickBot="1" x14ac:dyDescent="0.3">
      <c r="A747" s="425"/>
      <c r="B747" s="505"/>
      <c r="C747" s="505"/>
      <c r="D747" s="505"/>
      <c r="E747" s="505"/>
      <c r="F747" s="505"/>
      <c r="G747" s="505"/>
      <c r="H747" s="505"/>
      <c r="I747" s="505"/>
      <c r="J747" s="505"/>
      <c r="K747" s="609"/>
      <c r="L747" s="1161"/>
      <c r="M747" s="1161"/>
      <c r="N747" s="1161"/>
      <c r="O747" s="1161"/>
      <c r="P747" s="1161"/>
      <c r="Q747" s="1161"/>
      <c r="R747" s="1161"/>
      <c r="S747" s="1161"/>
      <c r="T747" s="1161"/>
      <c r="U747" s="1161"/>
      <c r="V747" s="1161"/>
      <c r="W747" s="1161"/>
      <c r="X747" s="1161"/>
      <c r="Y747" s="1161"/>
      <c r="Z747" s="1161"/>
      <c r="AA747" s="1161"/>
      <c r="AB747" s="1162"/>
      <c r="AC747" s="729"/>
    </row>
    <row r="748" spans="1:29" ht="22.5" customHeight="1" thickTop="1" thickBot="1" x14ac:dyDescent="0.3">
      <c r="A748" s="425"/>
      <c r="B748" s="505"/>
      <c r="C748" s="505"/>
      <c r="D748" s="505"/>
      <c r="E748" s="505"/>
      <c r="F748" s="505"/>
      <c r="G748" s="505"/>
      <c r="H748" s="505"/>
      <c r="I748" s="505"/>
      <c r="J748" s="505"/>
      <c r="K748" s="609"/>
      <c r="L748" s="1161"/>
      <c r="M748" s="1161"/>
      <c r="N748" s="1161"/>
      <c r="O748" s="1161"/>
      <c r="P748" s="1161"/>
      <c r="Q748" s="1161"/>
      <c r="R748" s="1161"/>
      <c r="S748" s="1161"/>
      <c r="T748" s="1161"/>
      <c r="U748" s="1161"/>
      <c r="V748" s="1161"/>
      <c r="W748" s="1161"/>
      <c r="X748" s="1161"/>
      <c r="Y748" s="1161"/>
      <c r="Z748" s="1161"/>
      <c r="AA748" s="1161"/>
      <c r="AB748" s="1162"/>
      <c r="AC748" s="729"/>
    </row>
    <row r="749" spans="1:29" ht="22.5" customHeight="1" thickTop="1" thickBot="1" x14ac:dyDescent="0.3">
      <c r="A749" s="425"/>
      <c r="B749" s="505"/>
      <c r="C749" s="505"/>
      <c r="D749" s="505"/>
      <c r="E749" s="505"/>
      <c r="F749" s="505"/>
      <c r="G749" s="505"/>
      <c r="H749" s="505"/>
      <c r="I749" s="505"/>
      <c r="J749" s="505"/>
      <c r="K749" s="609"/>
      <c r="L749" s="1161"/>
      <c r="M749" s="1161"/>
      <c r="N749" s="1161"/>
      <c r="O749" s="1161"/>
      <c r="P749" s="1161"/>
      <c r="Q749" s="1161"/>
      <c r="R749" s="1161"/>
      <c r="S749" s="1161"/>
      <c r="T749" s="1161"/>
      <c r="U749" s="1161"/>
      <c r="V749" s="1161"/>
      <c r="W749" s="1161"/>
      <c r="X749" s="1161"/>
      <c r="Y749" s="1161"/>
      <c r="Z749" s="1161"/>
      <c r="AA749" s="1161"/>
      <c r="AB749" s="1162"/>
      <c r="AC749" s="729"/>
    </row>
    <row r="750" spans="1:29" ht="22.5" customHeight="1" thickTop="1" thickBot="1" x14ac:dyDescent="0.3">
      <c r="A750" s="425"/>
      <c r="B750" s="505"/>
      <c r="C750" s="505"/>
      <c r="D750" s="505"/>
      <c r="E750" s="505"/>
      <c r="F750" s="505"/>
      <c r="G750" s="505"/>
      <c r="H750" s="505"/>
      <c r="I750" s="505"/>
      <c r="J750" s="505"/>
      <c r="K750" s="609"/>
      <c r="L750" s="1161"/>
      <c r="M750" s="1161"/>
      <c r="N750" s="1161"/>
      <c r="O750" s="1161"/>
      <c r="P750" s="1161"/>
      <c r="Q750" s="1161"/>
      <c r="R750" s="1161"/>
      <c r="S750" s="1161"/>
      <c r="T750" s="1161"/>
      <c r="U750" s="1161"/>
      <c r="V750" s="1161"/>
      <c r="W750" s="1161"/>
      <c r="X750" s="1161"/>
      <c r="Y750" s="1161"/>
      <c r="Z750" s="1161"/>
      <c r="AA750" s="1161"/>
      <c r="AB750" s="1162"/>
      <c r="AC750" s="729"/>
    </row>
    <row r="751" spans="1:29" ht="22.5" customHeight="1" thickTop="1" thickBot="1" x14ac:dyDescent="0.3">
      <c r="A751" s="425"/>
      <c r="B751" s="505"/>
      <c r="C751" s="505"/>
      <c r="D751" s="505"/>
      <c r="E751" s="505"/>
      <c r="F751" s="505"/>
      <c r="G751" s="505"/>
      <c r="H751" s="505"/>
      <c r="I751" s="505"/>
      <c r="J751" s="505"/>
      <c r="K751" s="609"/>
      <c r="L751" s="1161"/>
      <c r="M751" s="1161"/>
      <c r="N751" s="1161"/>
      <c r="O751" s="1161"/>
      <c r="P751" s="1161"/>
      <c r="Q751" s="1161"/>
      <c r="R751" s="1161"/>
      <c r="S751" s="1161"/>
      <c r="T751" s="1161"/>
      <c r="U751" s="1161"/>
      <c r="V751" s="1161"/>
      <c r="W751" s="1161"/>
      <c r="X751" s="1161"/>
      <c r="Y751" s="1161"/>
      <c r="Z751" s="1161"/>
      <c r="AA751" s="1161"/>
      <c r="AB751" s="1162"/>
      <c r="AC751" s="729"/>
    </row>
    <row r="752" spans="1:29" ht="22.5" customHeight="1" thickTop="1" thickBot="1" x14ac:dyDescent="0.3">
      <c r="A752" s="505"/>
      <c r="B752" s="505"/>
      <c r="C752" s="505"/>
      <c r="D752" s="505"/>
      <c r="E752" s="505"/>
      <c r="F752" s="505"/>
      <c r="G752" s="505"/>
      <c r="H752" s="505"/>
      <c r="I752" s="505"/>
      <c r="J752" s="505"/>
      <c r="K752" s="609"/>
      <c r="L752" s="1161"/>
      <c r="M752" s="1161"/>
      <c r="N752" s="1161"/>
      <c r="O752" s="1161"/>
      <c r="P752" s="1161"/>
      <c r="Q752" s="1161"/>
      <c r="R752" s="1161"/>
      <c r="S752" s="1161"/>
      <c r="T752" s="1161"/>
      <c r="U752" s="1161"/>
      <c r="V752" s="1161"/>
      <c r="W752" s="1161"/>
      <c r="X752" s="1161"/>
      <c r="Y752" s="1161"/>
      <c r="Z752" s="1161"/>
      <c r="AA752" s="1161"/>
      <c r="AB752" s="1162"/>
      <c r="AC752" s="729"/>
    </row>
    <row r="753" spans="1:29" ht="22.5" customHeight="1" thickTop="1" thickBot="1" x14ac:dyDescent="0.3">
      <c r="A753" s="425"/>
      <c r="B753" s="505"/>
      <c r="C753" s="505"/>
      <c r="D753" s="505"/>
      <c r="E753" s="505"/>
      <c r="F753" s="505"/>
      <c r="G753" s="505"/>
      <c r="H753" s="505"/>
      <c r="I753" s="505"/>
      <c r="J753" s="505"/>
      <c r="K753" s="609"/>
      <c r="L753" s="1161"/>
      <c r="M753" s="1161"/>
      <c r="N753" s="1161"/>
      <c r="O753" s="1161"/>
      <c r="P753" s="1161"/>
      <c r="Q753" s="1161"/>
      <c r="R753" s="1161"/>
      <c r="S753" s="1161"/>
      <c r="T753" s="1161"/>
      <c r="U753" s="1161"/>
      <c r="V753" s="1161"/>
      <c r="W753" s="1161"/>
      <c r="X753" s="1161"/>
      <c r="Y753" s="1161"/>
      <c r="Z753" s="1161"/>
      <c r="AA753" s="1161"/>
      <c r="AB753" s="1162"/>
      <c r="AC753" s="729"/>
    </row>
    <row r="754" spans="1:29" ht="22.5" customHeight="1" thickTop="1" thickBot="1" x14ac:dyDescent="0.3">
      <c r="A754" s="425"/>
      <c r="B754" s="505"/>
      <c r="C754" s="505"/>
      <c r="D754" s="505"/>
      <c r="E754" s="505"/>
      <c r="F754" s="505"/>
      <c r="G754" s="505"/>
      <c r="H754" s="505"/>
      <c r="I754" s="505"/>
      <c r="J754" s="505"/>
      <c r="K754" s="609"/>
      <c r="L754" s="1161"/>
      <c r="M754" s="1161"/>
      <c r="N754" s="1161"/>
      <c r="O754" s="1161"/>
      <c r="P754" s="1161"/>
      <c r="Q754" s="1161"/>
      <c r="R754" s="1161"/>
      <c r="S754" s="1161"/>
      <c r="T754" s="1161"/>
      <c r="U754" s="1161"/>
      <c r="V754" s="1161"/>
      <c r="W754" s="1161"/>
      <c r="X754" s="1161"/>
      <c r="Y754" s="1161"/>
      <c r="Z754" s="1161"/>
      <c r="AA754" s="1161"/>
      <c r="AB754" s="1162"/>
      <c r="AC754" s="729"/>
    </row>
    <row r="755" spans="1:29" ht="22.5" customHeight="1" thickTop="1" thickBot="1" x14ac:dyDescent="0.3">
      <c r="A755" s="425"/>
      <c r="B755" s="505"/>
      <c r="C755" s="505"/>
      <c r="D755" s="505"/>
      <c r="E755" s="505"/>
      <c r="F755" s="505"/>
      <c r="G755" s="505"/>
      <c r="H755" s="505"/>
      <c r="I755" s="505"/>
      <c r="J755" s="505"/>
      <c r="K755" s="609"/>
      <c r="L755" s="1161"/>
      <c r="M755" s="1161"/>
      <c r="N755" s="1161"/>
      <c r="O755" s="1161"/>
      <c r="P755" s="1161"/>
      <c r="Q755" s="1161"/>
      <c r="R755" s="1161"/>
      <c r="S755" s="1161"/>
      <c r="T755" s="1161"/>
      <c r="U755" s="1161"/>
      <c r="V755" s="1161"/>
      <c r="W755" s="1161"/>
      <c r="X755" s="1161"/>
      <c r="Y755" s="1161"/>
      <c r="Z755" s="1161"/>
      <c r="AA755" s="1161"/>
      <c r="AB755" s="1162"/>
      <c r="AC755" s="729"/>
    </row>
    <row r="756" spans="1:29" ht="22.5" customHeight="1" thickTop="1" thickBot="1" x14ac:dyDescent="0.3">
      <c r="A756" s="425"/>
      <c r="B756" s="505"/>
      <c r="C756" s="505"/>
      <c r="D756" s="505"/>
      <c r="E756" s="505"/>
      <c r="F756" s="505"/>
      <c r="G756" s="505"/>
      <c r="H756" s="505"/>
      <c r="I756" s="505"/>
      <c r="J756" s="505"/>
      <c r="K756" s="609"/>
      <c r="L756" s="1161"/>
      <c r="M756" s="1161"/>
      <c r="N756" s="1161"/>
      <c r="O756" s="1161"/>
      <c r="P756" s="1161"/>
      <c r="Q756" s="1161"/>
      <c r="R756" s="1161"/>
      <c r="S756" s="1161"/>
      <c r="T756" s="1161"/>
      <c r="U756" s="1161"/>
      <c r="V756" s="1161"/>
      <c r="W756" s="1161"/>
      <c r="X756" s="1161"/>
      <c r="Y756" s="1161"/>
      <c r="Z756" s="1161"/>
      <c r="AA756" s="1161"/>
      <c r="AB756" s="1162"/>
      <c r="AC756" s="729"/>
    </row>
    <row r="757" spans="1:29" ht="22.5" customHeight="1" thickTop="1" thickBot="1" x14ac:dyDescent="0.3">
      <c r="A757" s="425"/>
      <c r="B757" s="505"/>
      <c r="C757" s="505"/>
      <c r="D757" s="505"/>
      <c r="E757" s="505"/>
      <c r="F757" s="505"/>
      <c r="G757" s="505"/>
      <c r="H757" s="505"/>
      <c r="I757" s="505"/>
      <c r="J757" s="505"/>
      <c r="K757" s="609"/>
      <c r="L757" s="1161"/>
      <c r="M757" s="1161"/>
      <c r="N757" s="1161"/>
      <c r="O757" s="1161"/>
      <c r="P757" s="1161"/>
      <c r="Q757" s="1161"/>
      <c r="R757" s="1161"/>
      <c r="S757" s="1161"/>
      <c r="T757" s="1161"/>
      <c r="U757" s="1161"/>
      <c r="V757" s="1161"/>
      <c r="W757" s="1161"/>
      <c r="X757" s="1161"/>
      <c r="Y757" s="1161"/>
      <c r="Z757" s="1161"/>
      <c r="AA757" s="1161"/>
      <c r="AB757" s="1162"/>
      <c r="AC757" s="729"/>
    </row>
    <row r="758" spans="1:29" ht="22.5" customHeight="1" thickTop="1" thickBot="1" x14ac:dyDescent="0.3">
      <c r="A758" s="425"/>
      <c r="B758" s="505"/>
      <c r="C758" s="505"/>
      <c r="D758" s="505"/>
      <c r="E758" s="505"/>
      <c r="F758" s="505"/>
      <c r="G758" s="505"/>
      <c r="H758" s="505"/>
      <c r="I758" s="505"/>
      <c r="J758" s="505"/>
      <c r="K758" s="609"/>
      <c r="L758" s="1161"/>
      <c r="M758" s="1161"/>
      <c r="N758" s="1161"/>
      <c r="O758" s="1161"/>
      <c r="P758" s="1161"/>
      <c r="Q758" s="1161"/>
      <c r="R758" s="1161"/>
      <c r="S758" s="1161"/>
      <c r="T758" s="1161"/>
      <c r="U758" s="1161"/>
      <c r="V758" s="1161"/>
      <c r="W758" s="1161"/>
      <c r="X758" s="1161"/>
      <c r="Y758" s="1161"/>
      <c r="Z758" s="1161"/>
      <c r="AA758" s="1161"/>
      <c r="AB758" s="1162"/>
      <c r="AC758" s="729"/>
    </row>
    <row r="759" spans="1:29" ht="22.5" customHeight="1" thickTop="1" thickBot="1" x14ac:dyDescent="0.3">
      <c r="A759" s="425"/>
      <c r="B759" s="505"/>
      <c r="C759" s="505"/>
      <c r="D759" s="505"/>
      <c r="E759" s="505"/>
      <c r="F759" s="505"/>
      <c r="G759" s="505"/>
      <c r="H759" s="505"/>
      <c r="I759" s="505"/>
      <c r="J759" s="505"/>
      <c r="K759" s="609"/>
      <c r="L759" s="1161"/>
      <c r="M759" s="1161"/>
      <c r="N759" s="1161"/>
      <c r="O759" s="1161"/>
      <c r="P759" s="1161"/>
      <c r="Q759" s="1161"/>
      <c r="R759" s="1161"/>
      <c r="S759" s="1161"/>
      <c r="T759" s="1161"/>
      <c r="U759" s="1161"/>
      <c r="V759" s="1161"/>
      <c r="W759" s="1161"/>
      <c r="X759" s="1161"/>
      <c r="Y759" s="1161"/>
      <c r="Z759" s="1161"/>
      <c r="AA759" s="1161"/>
      <c r="AB759" s="1162"/>
      <c r="AC759" s="729"/>
    </row>
    <row r="760" spans="1:29" ht="22.5" customHeight="1" thickTop="1" thickBot="1" x14ac:dyDescent="0.3">
      <c r="A760" s="425"/>
      <c r="B760" s="505"/>
      <c r="C760" s="505"/>
      <c r="D760" s="505"/>
      <c r="E760" s="505"/>
      <c r="F760" s="505"/>
      <c r="G760" s="505"/>
      <c r="H760" s="505"/>
      <c r="I760" s="505"/>
      <c r="J760" s="505"/>
      <c r="K760" s="609"/>
      <c r="L760" s="1161"/>
      <c r="M760" s="1161"/>
      <c r="N760" s="1161"/>
      <c r="O760" s="1161"/>
      <c r="P760" s="1161"/>
      <c r="Q760" s="1161"/>
      <c r="R760" s="1161"/>
      <c r="S760" s="1161"/>
      <c r="T760" s="1161"/>
      <c r="U760" s="1161"/>
      <c r="V760" s="1161"/>
      <c r="W760" s="1161"/>
      <c r="X760" s="1161"/>
      <c r="Y760" s="1161"/>
      <c r="Z760" s="1161"/>
      <c r="AA760" s="1161"/>
      <c r="AB760" s="1162"/>
      <c r="AC760" s="729"/>
    </row>
    <row r="761" spans="1:29" ht="22.5" customHeight="1" thickTop="1" thickBot="1" x14ac:dyDescent="0.3">
      <c r="A761" s="425"/>
      <c r="B761" s="505"/>
      <c r="C761" s="505"/>
      <c r="D761" s="505"/>
      <c r="E761" s="505"/>
      <c r="F761" s="505"/>
      <c r="G761" s="505"/>
      <c r="H761" s="505"/>
      <c r="I761" s="505"/>
      <c r="J761" s="505"/>
      <c r="K761" s="609"/>
      <c r="L761" s="1161"/>
      <c r="M761" s="1161"/>
      <c r="N761" s="1161"/>
      <c r="O761" s="1161"/>
      <c r="P761" s="1161"/>
      <c r="Q761" s="1161"/>
      <c r="R761" s="1161"/>
      <c r="S761" s="1161"/>
      <c r="T761" s="1161"/>
      <c r="U761" s="1161"/>
      <c r="V761" s="1161"/>
      <c r="W761" s="1161"/>
      <c r="X761" s="1161"/>
      <c r="Y761" s="1161"/>
      <c r="Z761" s="1161"/>
      <c r="AA761" s="1161"/>
      <c r="AB761" s="1162"/>
      <c r="AC761" s="729"/>
    </row>
    <row r="762" spans="1:29" ht="22.5" customHeight="1" thickTop="1" thickBot="1" x14ac:dyDescent="0.3">
      <c r="A762" s="425"/>
      <c r="B762" s="505"/>
      <c r="C762" s="505"/>
      <c r="D762" s="505"/>
      <c r="E762" s="505"/>
      <c r="F762" s="505"/>
      <c r="G762" s="505"/>
      <c r="H762" s="505"/>
      <c r="I762" s="505"/>
      <c r="J762" s="505"/>
      <c r="K762" s="609"/>
      <c r="L762" s="1161"/>
      <c r="M762" s="1161"/>
      <c r="N762" s="1161"/>
      <c r="O762" s="1161"/>
      <c r="P762" s="1161"/>
      <c r="Q762" s="1161"/>
      <c r="R762" s="1161"/>
      <c r="S762" s="1161"/>
      <c r="T762" s="1161"/>
      <c r="U762" s="1161"/>
      <c r="V762" s="1161"/>
      <c r="W762" s="1161"/>
      <c r="X762" s="1161"/>
      <c r="Y762" s="1161"/>
      <c r="Z762" s="1161"/>
      <c r="AA762" s="1161"/>
      <c r="AB762" s="1162"/>
      <c r="AC762" s="729"/>
    </row>
    <row r="763" spans="1:29" ht="22.5" customHeight="1" thickTop="1" thickBot="1" x14ac:dyDescent="0.3">
      <c r="A763" s="425"/>
      <c r="B763" s="505"/>
      <c r="C763" s="505"/>
      <c r="D763" s="505"/>
      <c r="E763" s="505"/>
      <c r="F763" s="505"/>
      <c r="G763" s="505"/>
      <c r="H763" s="505"/>
      <c r="I763" s="505"/>
      <c r="J763" s="505"/>
      <c r="K763" s="609"/>
      <c r="L763" s="1161"/>
      <c r="M763" s="1161"/>
      <c r="N763" s="1161"/>
      <c r="O763" s="1161"/>
      <c r="P763" s="1161"/>
      <c r="Q763" s="1161"/>
      <c r="R763" s="1161"/>
      <c r="S763" s="1161"/>
      <c r="T763" s="1161"/>
      <c r="U763" s="1161"/>
      <c r="V763" s="1161"/>
      <c r="W763" s="1161"/>
      <c r="X763" s="1161"/>
      <c r="Y763" s="1161"/>
      <c r="Z763" s="1161"/>
      <c r="AA763" s="1161"/>
      <c r="AB763" s="1162"/>
      <c r="AC763" s="729"/>
    </row>
    <row r="764" spans="1:29" ht="22.5" customHeight="1" thickTop="1" thickBot="1" x14ac:dyDescent="0.3">
      <c r="A764" s="425"/>
      <c r="B764" s="505"/>
      <c r="C764" s="505"/>
      <c r="D764" s="505"/>
      <c r="E764" s="505"/>
      <c r="F764" s="505"/>
      <c r="G764" s="505"/>
      <c r="H764" s="505"/>
      <c r="I764" s="505"/>
      <c r="J764" s="505"/>
      <c r="K764" s="609"/>
      <c r="L764" s="1161"/>
      <c r="M764" s="1161"/>
      <c r="N764" s="1161"/>
      <c r="O764" s="1161"/>
      <c r="P764" s="1161"/>
      <c r="Q764" s="1161"/>
      <c r="R764" s="1161"/>
      <c r="S764" s="1161"/>
      <c r="T764" s="1161"/>
      <c r="U764" s="1161"/>
      <c r="V764" s="1161"/>
      <c r="W764" s="1161"/>
      <c r="X764" s="1161"/>
      <c r="Y764" s="1161"/>
      <c r="Z764" s="1161"/>
      <c r="AA764" s="1161"/>
      <c r="AB764" s="1162"/>
      <c r="AC764" s="729"/>
    </row>
    <row r="765" spans="1:29" ht="22.5" customHeight="1" thickTop="1" thickBot="1" x14ac:dyDescent="0.3">
      <c r="A765" s="425"/>
      <c r="B765" s="505"/>
      <c r="C765" s="505"/>
      <c r="D765" s="505"/>
      <c r="E765" s="505"/>
      <c r="F765" s="505"/>
      <c r="G765" s="505"/>
      <c r="H765" s="505"/>
      <c r="I765" s="505"/>
      <c r="J765" s="505"/>
      <c r="K765" s="609"/>
      <c r="L765" s="1161"/>
      <c r="M765" s="1161"/>
      <c r="N765" s="1161"/>
      <c r="O765" s="1161"/>
      <c r="P765" s="1161"/>
      <c r="Q765" s="1161"/>
      <c r="R765" s="1161"/>
      <c r="S765" s="1161"/>
      <c r="T765" s="1161"/>
      <c r="U765" s="1161"/>
      <c r="V765" s="1161"/>
      <c r="W765" s="1161"/>
      <c r="X765" s="1161"/>
      <c r="Y765" s="1161"/>
      <c r="Z765" s="1161"/>
      <c r="AA765" s="1161"/>
      <c r="AB765" s="1162"/>
      <c r="AC765" s="729"/>
    </row>
    <row r="766" spans="1:29" ht="22.5" customHeight="1" thickTop="1" thickBot="1" x14ac:dyDescent="0.3">
      <c r="A766" s="425"/>
      <c r="B766" s="505"/>
      <c r="C766" s="505"/>
      <c r="D766" s="505"/>
      <c r="E766" s="505"/>
      <c r="F766" s="505"/>
      <c r="G766" s="505"/>
      <c r="H766" s="505"/>
      <c r="I766" s="505"/>
      <c r="J766" s="505"/>
      <c r="K766" s="609"/>
      <c r="L766" s="1161"/>
      <c r="M766" s="1161"/>
      <c r="N766" s="1161"/>
      <c r="O766" s="1161"/>
      <c r="P766" s="1161"/>
      <c r="Q766" s="1161"/>
      <c r="R766" s="1161"/>
      <c r="S766" s="1161"/>
      <c r="T766" s="1161"/>
      <c r="U766" s="1161"/>
      <c r="V766" s="1161"/>
      <c r="W766" s="1161"/>
      <c r="X766" s="1161"/>
      <c r="Y766" s="1161"/>
      <c r="Z766" s="1161"/>
      <c r="AA766" s="1161"/>
      <c r="AB766" s="1162"/>
      <c r="AC766" s="729"/>
    </row>
    <row r="767" spans="1:29" ht="22.5" customHeight="1" thickTop="1" thickBot="1" x14ac:dyDescent="0.3">
      <c r="A767" s="425"/>
      <c r="B767" s="505"/>
      <c r="C767" s="505"/>
      <c r="D767" s="505"/>
      <c r="E767" s="505"/>
      <c r="F767" s="505"/>
      <c r="G767" s="505"/>
      <c r="H767" s="505"/>
      <c r="I767" s="505"/>
      <c r="J767" s="505"/>
      <c r="K767" s="609"/>
      <c r="L767" s="1161"/>
      <c r="M767" s="1161"/>
      <c r="N767" s="1161"/>
      <c r="O767" s="1161"/>
      <c r="P767" s="1161"/>
      <c r="Q767" s="1161"/>
      <c r="R767" s="1161"/>
      <c r="S767" s="1161"/>
      <c r="T767" s="1161"/>
      <c r="U767" s="1161"/>
      <c r="V767" s="1161"/>
      <c r="W767" s="1161"/>
      <c r="X767" s="1161"/>
      <c r="Y767" s="1161"/>
      <c r="Z767" s="1161"/>
      <c r="AA767" s="1161"/>
      <c r="AB767" s="1162"/>
      <c r="AC767" s="729"/>
    </row>
    <row r="768" spans="1:29" ht="22.5" customHeight="1" thickTop="1" thickBot="1" x14ac:dyDescent="0.3">
      <c r="A768" s="425"/>
      <c r="B768" s="505"/>
      <c r="C768" s="505"/>
      <c r="D768" s="505"/>
      <c r="E768" s="505"/>
      <c r="F768" s="505"/>
      <c r="G768" s="505"/>
      <c r="H768" s="505"/>
      <c r="I768" s="505"/>
      <c r="J768" s="505"/>
      <c r="K768" s="609"/>
      <c r="L768" s="1161"/>
      <c r="M768" s="1161"/>
      <c r="N768" s="1161"/>
      <c r="O768" s="1161"/>
      <c r="P768" s="1161"/>
      <c r="Q768" s="1161"/>
      <c r="R768" s="1161"/>
      <c r="S768" s="1161"/>
      <c r="T768" s="1161"/>
      <c r="U768" s="1161"/>
      <c r="V768" s="1161"/>
      <c r="W768" s="1161"/>
      <c r="X768" s="1161"/>
      <c r="Y768" s="1161"/>
      <c r="Z768" s="1161"/>
      <c r="AA768" s="1161"/>
      <c r="AB768" s="1162"/>
      <c r="AC768" s="729"/>
    </row>
    <row r="769" spans="1:29" ht="22.5" customHeight="1" thickTop="1" thickBot="1" x14ac:dyDescent="0.3">
      <c r="A769" s="425"/>
      <c r="B769" s="505"/>
      <c r="C769" s="505"/>
      <c r="D769" s="505"/>
      <c r="E769" s="505"/>
      <c r="F769" s="505"/>
      <c r="G769" s="505"/>
      <c r="H769" s="505"/>
      <c r="I769" s="505"/>
      <c r="J769" s="505"/>
      <c r="K769" s="609"/>
      <c r="L769" s="1161"/>
      <c r="M769" s="1161"/>
      <c r="N769" s="1161"/>
      <c r="O769" s="1161"/>
      <c r="P769" s="1161"/>
      <c r="Q769" s="1161"/>
      <c r="R769" s="1161"/>
      <c r="S769" s="1161"/>
      <c r="T769" s="1161"/>
      <c r="U769" s="1161"/>
      <c r="V769" s="1161"/>
      <c r="W769" s="1161"/>
      <c r="X769" s="1161"/>
      <c r="Y769" s="1161"/>
      <c r="Z769" s="1161"/>
      <c r="AA769" s="1161"/>
      <c r="AB769" s="1162"/>
      <c r="AC769" s="729"/>
    </row>
    <row r="770" spans="1:29" ht="22.5" customHeight="1" thickTop="1" thickBot="1" x14ac:dyDescent="0.3">
      <c r="A770" s="425"/>
      <c r="B770" s="505"/>
      <c r="C770" s="505"/>
      <c r="D770" s="505"/>
      <c r="E770" s="505"/>
      <c r="F770" s="505"/>
      <c r="G770" s="505"/>
      <c r="H770" s="505"/>
      <c r="I770" s="505"/>
      <c r="J770" s="505"/>
      <c r="K770" s="609"/>
      <c r="L770" s="1161"/>
      <c r="M770" s="1161"/>
      <c r="N770" s="1161"/>
      <c r="O770" s="1161"/>
      <c r="P770" s="1161"/>
      <c r="Q770" s="1161"/>
      <c r="R770" s="1161"/>
      <c r="S770" s="1161"/>
      <c r="T770" s="1161"/>
      <c r="U770" s="1161"/>
      <c r="V770" s="1161"/>
      <c r="W770" s="1161"/>
      <c r="X770" s="1161"/>
      <c r="Y770" s="1161"/>
      <c r="Z770" s="1161"/>
      <c r="AA770" s="1161"/>
      <c r="AB770" s="1162"/>
      <c r="AC770" s="729"/>
    </row>
    <row r="771" spans="1:29" ht="22.5" customHeight="1" thickTop="1" thickBot="1" x14ac:dyDescent="0.3">
      <c r="A771" s="425"/>
      <c r="B771" s="505"/>
      <c r="C771" s="505"/>
      <c r="D771" s="505"/>
      <c r="E771" s="505"/>
      <c r="F771" s="505"/>
      <c r="G771" s="505"/>
      <c r="H771" s="505"/>
      <c r="I771" s="505"/>
      <c r="J771" s="505"/>
      <c r="K771" s="609"/>
      <c r="L771" s="1161"/>
      <c r="M771" s="1161"/>
      <c r="N771" s="1161"/>
      <c r="O771" s="1161"/>
      <c r="P771" s="1161"/>
      <c r="Q771" s="1161"/>
      <c r="R771" s="1161"/>
      <c r="S771" s="1161"/>
      <c r="T771" s="1161"/>
      <c r="U771" s="1161"/>
      <c r="V771" s="1161"/>
      <c r="W771" s="1161"/>
      <c r="X771" s="1161"/>
      <c r="Y771" s="1161"/>
      <c r="Z771" s="1161"/>
      <c r="AA771" s="1161"/>
      <c r="AB771" s="1162"/>
      <c r="AC771" s="729"/>
    </row>
    <row r="772" spans="1:29" ht="22.5" customHeight="1" thickTop="1" thickBot="1" x14ac:dyDescent="0.3">
      <c r="A772" s="425"/>
      <c r="B772" s="505"/>
      <c r="C772" s="505"/>
      <c r="D772" s="505"/>
      <c r="E772" s="505"/>
      <c r="F772" s="505"/>
      <c r="G772" s="505"/>
      <c r="H772" s="505"/>
      <c r="I772" s="505"/>
      <c r="J772" s="505"/>
      <c r="K772" s="609"/>
      <c r="L772" s="1161"/>
      <c r="M772" s="1161"/>
      <c r="N772" s="1161"/>
      <c r="O772" s="1161"/>
      <c r="P772" s="1161"/>
      <c r="Q772" s="1161"/>
      <c r="R772" s="1161"/>
      <c r="S772" s="1161"/>
      <c r="T772" s="1161"/>
      <c r="U772" s="1161"/>
      <c r="V772" s="1161"/>
      <c r="W772" s="1161"/>
      <c r="X772" s="1161"/>
      <c r="Y772" s="1161"/>
      <c r="Z772" s="1161"/>
      <c r="AA772" s="1161"/>
      <c r="AB772" s="1162"/>
      <c r="AC772" s="729"/>
    </row>
    <row r="773" spans="1:29" ht="22.5" customHeight="1" thickTop="1" thickBot="1" x14ac:dyDescent="0.3">
      <c r="A773" s="425"/>
      <c r="B773" s="505"/>
      <c r="C773" s="505"/>
      <c r="D773" s="505"/>
      <c r="E773" s="505"/>
      <c r="F773" s="505"/>
      <c r="G773" s="505"/>
      <c r="H773" s="505"/>
      <c r="I773" s="505"/>
      <c r="J773" s="505"/>
      <c r="K773" s="609"/>
      <c r="L773" s="1161"/>
      <c r="M773" s="1161"/>
      <c r="N773" s="1161"/>
      <c r="O773" s="1161"/>
      <c r="P773" s="1161"/>
      <c r="Q773" s="1161"/>
      <c r="R773" s="1161"/>
      <c r="S773" s="1161"/>
      <c r="T773" s="1161"/>
      <c r="U773" s="1161"/>
      <c r="V773" s="1161"/>
      <c r="W773" s="1161"/>
      <c r="X773" s="1161"/>
      <c r="Y773" s="1161"/>
      <c r="Z773" s="1161"/>
      <c r="AA773" s="1161"/>
      <c r="AB773" s="1162"/>
      <c r="AC773" s="729"/>
    </row>
    <row r="774" spans="1:29" ht="22.5" customHeight="1" thickTop="1" thickBot="1" x14ac:dyDescent="0.3">
      <c r="A774" s="425"/>
      <c r="B774" s="505"/>
      <c r="C774" s="505"/>
      <c r="D774" s="505"/>
      <c r="E774" s="505"/>
      <c r="F774" s="505"/>
      <c r="G774" s="505"/>
      <c r="H774" s="505"/>
      <c r="I774" s="505"/>
      <c r="J774" s="505"/>
      <c r="K774" s="609"/>
      <c r="L774" s="1161"/>
      <c r="M774" s="1161"/>
      <c r="N774" s="1161"/>
      <c r="O774" s="1161"/>
      <c r="P774" s="1161"/>
      <c r="Q774" s="1161"/>
      <c r="R774" s="1161"/>
      <c r="S774" s="1161"/>
      <c r="T774" s="1161"/>
      <c r="U774" s="1161"/>
      <c r="V774" s="1161"/>
      <c r="W774" s="1161"/>
      <c r="X774" s="1161"/>
      <c r="Y774" s="1161"/>
      <c r="Z774" s="1161"/>
      <c r="AA774" s="1161"/>
      <c r="AB774" s="1162"/>
      <c r="AC774" s="729"/>
    </row>
    <row r="775" spans="1:29" ht="22.5" customHeight="1" thickTop="1" thickBot="1" x14ac:dyDescent="0.3">
      <c r="A775" s="425"/>
      <c r="B775" s="505"/>
      <c r="C775" s="505"/>
      <c r="D775" s="505"/>
      <c r="E775" s="505"/>
      <c r="F775" s="505"/>
      <c r="G775" s="505"/>
      <c r="H775" s="505"/>
      <c r="I775" s="505"/>
      <c r="J775" s="505"/>
      <c r="K775" s="609"/>
      <c r="L775" s="1161"/>
      <c r="M775" s="1161"/>
      <c r="N775" s="1161"/>
      <c r="O775" s="1161"/>
      <c r="P775" s="1161"/>
      <c r="Q775" s="1161"/>
      <c r="R775" s="1161"/>
      <c r="S775" s="1161"/>
      <c r="T775" s="1161"/>
      <c r="U775" s="1161"/>
      <c r="V775" s="1161"/>
      <c r="W775" s="1161"/>
      <c r="X775" s="1161"/>
      <c r="Y775" s="1161"/>
      <c r="Z775" s="1161"/>
      <c r="AA775" s="1161"/>
      <c r="AB775" s="1162"/>
      <c r="AC775" s="729"/>
    </row>
    <row r="776" spans="1:29" ht="22.5" customHeight="1" thickTop="1" thickBot="1" x14ac:dyDescent="0.3">
      <c r="A776" s="425"/>
      <c r="B776" s="505"/>
      <c r="C776" s="505"/>
      <c r="D776" s="505"/>
      <c r="E776" s="505"/>
      <c r="F776" s="505"/>
      <c r="G776" s="505"/>
      <c r="H776" s="505"/>
      <c r="I776" s="505"/>
      <c r="J776" s="505"/>
      <c r="K776" s="609"/>
      <c r="L776" s="1161"/>
      <c r="M776" s="1161"/>
      <c r="N776" s="1161"/>
      <c r="O776" s="1161"/>
      <c r="P776" s="1161"/>
      <c r="Q776" s="1161"/>
      <c r="R776" s="1161"/>
      <c r="S776" s="1161"/>
      <c r="T776" s="1161"/>
      <c r="U776" s="1161"/>
      <c r="V776" s="1161"/>
      <c r="W776" s="1161"/>
      <c r="X776" s="1161"/>
      <c r="Y776" s="1161"/>
      <c r="Z776" s="1161"/>
      <c r="AA776" s="1161"/>
      <c r="AB776" s="1162"/>
      <c r="AC776" s="729"/>
    </row>
    <row r="777" spans="1:29" ht="22.5" customHeight="1" thickTop="1" thickBot="1" x14ac:dyDescent="0.3">
      <c r="A777" s="425"/>
      <c r="B777" s="505"/>
      <c r="C777" s="505"/>
      <c r="D777" s="505"/>
      <c r="E777" s="505"/>
      <c r="F777" s="505"/>
      <c r="G777" s="505"/>
      <c r="H777" s="505"/>
      <c r="I777" s="505"/>
      <c r="J777" s="505"/>
      <c r="K777" s="609"/>
      <c r="L777" s="1161"/>
      <c r="M777" s="1161"/>
      <c r="N777" s="1161"/>
      <c r="O777" s="1161"/>
      <c r="P777" s="1161"/>
      <c r="Q777" s="1161"/>
      <c r="R777" s="1161"/>
      <c r="S777" s="1161"/>
      <c r="T777" s="1161"/>
      <c r="U777" s="1161"/>
      <c r="V777" s="1161"/>
      <c r="W777" s="1161"/>
      <c r="X777" s="1161"/>
      <c r="Y777" s="1161"/>
      <c r="Z777" s="1161"/>
      <c r="AA777" s="1161"/>
      <c r="AB777" s="1162"/>
      <c r="AC777" s="729"/>
    </row>
    <row r="778" spans="1:29" ht="22.5" customHeight="1" thickTop="1" thickBot="1" x14ac:dyDescent="0.3">
      <c r="A778" s="425"/>
      <c r="B778" s="505"/>
      <c r="C778" s="505"/>
      <c r="D778" s="505"/>
      <c r="E778" s="505"/>
      <c r="F778" s="505"/>
      <c r="G778" s="505"/>
      <c r="H778" s="505"/>
      <c r="I778" s="505"/>
      <c r="J778" s="505"/>
      <c r="K778" s="609"/>
      <c r="L778" s="1161"/>
      <c r="M778" s="1161"/>
      <c r="N778" s="1161"/>
      <c r="O778" s="1161"/>
      <c r="P778" s="1161"/>
      <c r="Q778" s="1161"/>
      <c r="R778" s="1161"/>
      <c r="S778" s="1161"/>
      <c r="T778" s="1161"/>
      <c r="U778" s="1161"/>
      <c r="V778" s="1161"/>
      <c r="W778" s="1161"/>
      <c r="X778" s="1161"/>
      <c r="Y778" s="1161"/>
      <c r="Z778" s="1161"/>
      <c r="AA778" s="1161"/>
      <c r="AB778" s="1162"/>
      <c r="AC778" s="729"/>
    </row>
    <row r="779" spans="1:29" ht="22.5" customHeight="1" thickTop="1" thickBot="1" x14ac:dyDescent="0.3">
      <c r="A779" s="425"/>
      <c r="B779" s="505"/>
      <c r="C779" s="505"/>
      <c r="D779" s="505"/>
      <c r="E779" s="505"/>
      <c r="F779" s="505"/>
      <c r="G779" s="505"/>
      <c r="H779" s="505"/>
      <c r="I779" s="505"/>
      <c r="J779" s="505"/>
      <c r="K779" s="609"/>
      <c r="L779" s="1161"/>
      <c r="M779" s="1161"/>
      <c r="N779" s="1161"/>
      <c r="O779" s="1161"/>
      <c r="P779" s="1161"/>
      <c r="Q779" s="1161"/>
      <c r="R779" s="1161"/>
      <c r="S779" s="1161"/>
      <c r="T779" s="1161"/>
      <c r="U779" s="1161"/>
      <c r="V779" s="1161"/>
      <c r="W779" s="1161"/>
      <c r="X779" s="1161"/>
      <c r="Y779" s="1161"/>
      <c r="Z779" s="1161"/>
      <c r="AA779" s="1161"/>
      <c r="AB779" s="1162"/>
      <c r="AC779" s="729"/>
    </row>
    <row r="780" spans="1:29" ht="22.5" customHeight="1" thickTop="1" thickBot="1" x14ac:dyDescent="0.3">
      <c r="A780" s="425"/>
      <c r="B780" s="505"/>
      <c r="C780" s="505"/>
      <c r="D780" s="505"/>
      <c r="E780" s="505"/>
      <c r="F780" s="505"/>
      <c r="G780" s="505"/>
      <c r="H780" s="505"/>
      <c r="I780" s="505"/>
      <c r="J780" s="505"/>
      <c r="K780" s="609"/>
      <c r="L780" s="1161"/>
      <c r="M780" s="1161"/>
      <c r="N780" s="1161"/>
      <c r="O780" s="1161"/>
      <c r="P780" s="1161"/>
      <c r="Q780" s="1161"/>
      <c r="R780" s="1161"/>
      <c r="S780" s="1161"/>
      <c r="T780" s="1161"/>
      <c r="U780" s="1161"/>
      <c r="V780" s="1161"/>
      <c r="W780" s="1161"/>
      <c r="X780" s="1161"/>
      <c r="Y780" s="1161"/>
      <c r="Z780" s="1161"/>
      <c r="AA780" s="1161"/>
      <c r="AB780" s="1162"/>
      <c r="AC780" s="729"/>
    </row>
    <row r="781" spans="1:29" ht="22.5" customHeight="1" thickTop="1" thickBot="1" x14ac:dyDescent="0.3">
      <c r="A781" s="425"/>
      <c r="B781" s="505"/>
      <c r="C781" s="505"/>
      <c r="D781" s="505"/>
      <c r="E781" s="505"/>
      <c r="F781" s="505"/>
      <c r="G781" s="505"/>
      <c r="H781" s="505"/>
      <c r="I781" s="505"/>
      <c r="J781" s="505"/>
      <c r="K781" s="609"/>
      <c r="L781" s="1161"/>
      <c r="M781" s="1161"/>
      <c r="N781" s="1161"/>
      <c r="O781" s="1161"/>
      <c r="P781" s="1161"/>
      <c r="Q781" s="1161"/>
      <c r="R781" s="1161"/>
      <c r="S781" s="1161"/>
      <c r="T781" s="1161"/>
      <c r="U781" s="1161"/>
      <c r="V781" s="1161"/>
      <c r="W781" s="1161"/>
      <c r="X781" s="1161"/>
      <c r="Y781" s="1161"/>
      <c r="Z781" s="1161"/>
      <c r="AA781" s="1161"/>
      <c r="AB781" s="1162"/>
      <c r="AC781" s="729"/>
    </row>
    <row r="782" spans="1:29" ht="22.5" customHeight="1" thickTop="1" thickBot="1" x14ac:dyDescent="0.3">
      <c r="A782" s="425"/>
      <c r="B782" s="505"/>
      <c r="C782" s="505"/>
      <c r="D782" s="505"/>
      <c r="E782" s="505"/>
      <c r="F782" s="505"/>
      <c r="G782" s="505"/>
      <c r="H782" s="505"/>
      <c r="I782" s="505"/>
      <c r="J782" s="505"/>
      <c r="K782" s="609"/>
      <c r="L782" s="1161"/>
      <c r="M782" s="1161"/>
      <c r="N782" s="1161"/>
      <c r="O782" s="1161"/>
      <c r="P782" s="1161"/>
      <c r="Q782" s="1161"/>
      <c r="R782" s="1161"/>
      <c r="S782" s="1161"/>
      <c r="T782" s="1161"/>
      <c r="U782" s="1161"/>
      <c r="V782" s="1161"/>
      <c r="W782" s="1161"/>
      <c r="X782" s="1161"/>
      <c r="Y782" s="1161"/>
      <c r="Z782" s="1161"/>
      <c r="AA782" s="1161"/>
      <c r="AB782" s="1162"/>
      <c r="AC782" s="729"/>
    </row>
    <row r="783" spans="1:29" ht="22.5" customHeight="1" thickTop="1" thickBot="1" x14ac:dyDescent="0.3">
      <c r="A783" s="425"/>
      <c r="B783" s="505"/>
      <c r="C783" s="505"/>
      <c r="D783" s="505"/>
      <c r="E783" s="505"/>
      <c r="F783" s="505"/>
      <c r="G783" s="505"/>
      <c r="H783" s="505"/>
      <c r="I783" s="505"/>
      <c r="J783" s="505"/>
      <c r="K783" s="609"/>
      <c r="L783" s="1161"/>
      <c r="M783" s="1161"/>
      <c r="N783" s="1161"/>
      <c r="O783" s="1161"/>
      <c r="P783" s="1161"/>
      <c r="Q783" s="1161"/>
      <c r="R783" s="1161"/>
      <c r="S783" s="1161"/>
      <c r="T783" s="1161"/>
      <c r="U783" s="1161"/>
      <c r="V783" s="1161"/>
      <c r="W783" s="1161"/>
      <c r="X783" s="1161"/>
      <c r="Y783" s="1161"/>
      <c r="Z783" s="1161"/>
      <c r="AA783" s="1161"/>
      <c r="AB783" s="1162"/>
      <c r="AC783" s="729"/>
    </row>
    <row r="784" spans="1:29" ht="22.5" customHeight="1" thickTop="1" thickBot="1" x14ac:dyDescent="0.3">
      <c r="A784" s="425"/>
      <c r="B784" s="505"/>
      <c r="C784" s="505"/>
      <c r="D784" s="505"/>
      <c r="E784" s="505"/>
      <c r="F784" s="505"/>
      <c r="G784" s="505"/>
      <c r="H784" s="505"/>
      <c r="I784" s="505"/>
      <c r="J784" s="505"/>
      <c r="K784" s="609"/>
      <c r="L784" s="1161"/>
      <c r="M784" s="1161"/>
      <c r="N784" s="1161"/>
      <c r="O784" s="1161"/>
      <c r="P784" s="1161"/>
      <c r="Q784" s="1161"/>
      <c r="R784" s="1161"/>
      <c r="S784" s="1161"/>
      <c r="T784" s="1161"/>
      <c r="U784" s="1161"/>
      <c r="V784" s="1161"/>
      <c r="W784" s="1161"/>
      <c r="X784" s="1161"/>
      <c r="Y784" s="1161"/>
      <c r="Z784" s="1161"/>
      <c r="AA784" s="1161"/>
      <c r="AB784" s="1162"/>
      <c r="AC784" s="729"/>
    </row>
    <row r="785" spans="1:29" ht="22.5" customHeight="1" thickTop="1" thickBot="1" x14ac:dyDescent="0.3">
      <c r="A785" s="425"/>
      <c r="B785" s="505"/>
      <c r="C785" s="505"/>
      <c r="D785" s="505"/>
      <c r="E785" s="505"/>
      <c r="F785" s="505"/>
      <c r="G785" s="505"/>
      <c r="H785" s="505"/>
      <c r="I785" s="505"/>
      <c r="J785" s="505"/>
      <c r="K785" s="609"/>
      <c r="L785" s="1161"/>
      <c r="M785" s="1161"/>
      <c r="N785" s="1161"/>
      <c r="O785" s="1161"/>
      <c r="P785" s="1161"/>
      <c r="Q785" s="1161"/>
      <c r="R785" s="1161"/>
      <c r="S785" s="1161"/>
      <c r="T785" s="1161"/>
      <c r="U785" s="1161"/>
      <c r="V785" s="1161"/>
      <c r="W785" s="1161"/>
      <c r="X785" s="1161"/>
      <c r="Y785" s="1161"/>
      <c r="Z785" s="1161"/>
      <c r="AA785" s="1161"/>
      <c r="AB785" s="1162"/>
      <c r="AC785" s="729"/>
    </row>
    <row r="786" spans="1:29" ht="22.5" customHeight="1" thickTop="1" thickBot="1" x14ac:dyDescent="0.3">
      <c r="A786" s="425"/>
      <c r="B786" s="505"/>
      <c r="C786" s="505"/>
      <c r="D786" s="505"/>
      <c r="E786" s="505"/>
      <c r="F786" s="505"/>
      <c r="G786" s="505"/>
      <c r="H786" s="505"/>
      <c r="I786" s="505"/>
      <c r="J786" s="505"/>
      <c r="K786" s="609"/>
      <c r="L786" s="1161"/>
      <c r="M786" s="1161"/>
      <c r="N786" s="1161"/>
      <c r="O786" s="1161"/>
      <c r="P786" s="1161"/>
      <c r="Q786" s="1161"/>
      <c r="R786" s="1161"/>
      <c r="S786" s="1161"/>
      <c r="T786" s="1161"/>
      <c r="U786" s="1161"/>
      <c r="V786" s="1161"/>
      <c r="W786" s="1161"/>
      <c r="X786" s="1161"/>
      <c r="Y786" s="1161"/>
      <c r="Z786" s="1161"/>
      <c r="AA786" s="1161"/>
      <c r="AB786" s="1162"/>
      <c r="AC786" s="729"/>
    </row>
    <row r="787" spans="1:29" ht="22.5" customHeight="1" thickTop="1" thickBot="1" x14ac:dyDescent="0.3">
      <c r="A787" s="425"/>
      <c r="B787" s="505"/>
      <c r="C787" s="505"/>
      <c r="D787" s="505"/>
      <c r="E787" s="505"/>
      <c r="F787" s="505"/>
      <c r="G787" s="505"/>
      <c r="H787" s="505"/>
      <c r="I787" s="505"/>
      <c r="J787" s="505"/>
      <c r="K787" s="609"/>
      <c r="L787" s="1161"/>
      <c r="M787" s="1161"/>
      <c r="N787" s="1161"/>
      <c r="O787" s="1161"/>
      <c r="P787" s="1161"/>
      <c r="Q787" s="1161"/>
      <c r="R787" s="1161"/>
      <c r="S787" s="1161"/>
      <c r="T787" s="1161"/>
      <c r="U787" s="1161"/>
      <c r="V787" s="1161"/>
      <c r="W787" s="1161"/>
      <c r="X787" s="1161"/>
      <c r="Y787" s="1161"/>
      <c r="Z787" s="1161"/>
      <c r="AA787" s="1161"/>
      <c r="AB787" s="1162"/>
      <c r="AC787" s="729"/>
    </row>
    <row r="788" spans="1:29" ht="22.5" customHeight="1" thickTop="1" thickBot="1" x14ac:dyDescent="0.3">
      <c r="A788" s="425"/>
      <c r="B788" s="505"/>
      <c r="C788" s="505"/>
      <c r="D788" s="505"/>
      <c r="E788" s="505"/>
      <c r="F788" s="505"/>
      <c r="G788" s="505"/>
      <c r="H788" s="505"/>
      <c r="I788" s="505"/>
      <c r="J788" s="505"/>
      <c r="K788" s="609"/>
      <c r="L788" s="1161"/>
      <c r="M788" s="1161"/>
      <c r="N788" s="1161"/>
      <c r="O788" s="1161"/>
      <c r="P788" s="1161"/>
      <c r="Q788" s="1161"/>
      <c r="R788" s="1161"/>
      <c r="S788" s="1161"/>
      <c r="T788" s="1161"/>
      <c r="U788" s="1161"/>
      <c r="V788" s="1161"/>
      <c r="W788" s="1161"/>
      <c r="X788" s="1161"/>
      <c r="Y788" s="1161"/>
      <c r="Z788" s="1161"/>
      <c r="AA788" s="1161"/>
      <c r="AB788" s="1162"/>
      <c r="AC788" s="729"/>
    </row>
    <row r="789" spans="1:29" ht="22.5" customHeight="1" thickTop="1" thickBot="1" x14ac:dyDescent="0.3">
      <c r="A789" s="425"/>
      <c r="B789" s="505"/>
      <c r="C789" s="505"/>
      <c r="D789" s="505"/>
      <c r="E789" s="505"/>
      <c r="F789" s="505"/>
      <c r="G789" s="505"/>
      <c r="H789" s="505"/>
      <c r="I789" s="505"/>
      <c r="J789" s="505"/>
      <c r="K789" s="609"/>
      <c r="L789" s="1161"/>
      <c r="M789" s="1161"/>
      <c r="N789" s="1161"/>
      <c r="O789" s="1161"/>
      <c r="P789" s="1161"/>
      <c r="Q789" s="1161"/>
      <c r="R789" s="1161"/>
      <c r="S789" s="1161"/>
      <c r="T789" s="1161"/>
      <c r="U789" s="1161"/>
      <c r="V789" s="1161"/>
      <c r="W789" s="1161"/>
      <c r="X789" s="1161"/>
      <c r="Y789" s="1161"/>
      <c r="Z789" s="1161"/>
      <c r="AA789" s="1161"/>
      <c r="AB789" s="1162"/>
      <c r="AC789" s="729"/>
    </row>
    <row r="790" spans="1:29" ht="22.5" customHeight="1" thickTop="1" thickBot="1" x14ac:dyDescent="0.3">
      <c r="A790" s="425"/>
      <c r="B790" s="505"/>
      <c r="C790" s="505"/>
      <c r="D790" s="505"/>
      <c r="E790" s="505"/>
      <c r="F790" s="505"/>
      <c r="G790" s="505"/>
      <c r="H790" s="505"/>
      <c r="I790" s="505"/>
      <c r="J790" s="505"/>
      <c r="K790" s="609"/>
      <c r="L790" s="1161"/>
      <c r="M790" s="1161"/>
      <c r="N790" s="1161"/>
      <c r="O790" s="1161"/>
      <c r="P790" s="1161"/>
      <c r="Q790" s="1161"/>
      <c r="R790" s="1161"/>
      <c r="S790" s="1161"/>
      <c r="T790" s="1161"/>
      <c r="U790" s="1161"/>
      <c r="V790" s="1161"/>
      <c r="W790" s="1161"/>
      <c r="X790" s="1161"/>
      <c r="Y790" s="1161"/>
      <c r="Z790" s="1161"/>
      <c r="AA790" s="1161"/>
      <c r="AB790" s="1162"/>
      <c r="AC790" s="729"/>
    </row>
    <row r="791" spans="1:29" ht="22.5" customHeight="1" thickTop="1" thickBot="1" x14ac:dyDescent="0.3">
      <c r="A791" s="425"/>
      <c r="B791" s="505"/>
      <c r="C791" s="505"/>
      <c r="D791" s="505"/>
      <c r="E791" s="505"/>
      <c r="F791" s="505"/>
      <c r="G791" s="505"/>
      <c r="H791" s="505"/>
      <c r="I791" s="505"/>
      <c r="J791" s="505"/>
      <c r="K791" s="609"/>
      <c r="L791" s="1161"/>
      <c r="M791" s="1161"/>
      <c r="N791" s="1161"/>
      <c r="O791" s="1161"/>
      <c r="P791" s="1161"/>
      <c r="Q791" s="1161"/>
      <c r="R791" s="1161"/>
      <c r="S791" s="1161"/>
      <c r="T791" s="1161"/>
      <c r="U791" s="1161"/>
      <c r="V791" s="1161"/>
      <c r="W791" s="1161"/>
      <c r="X791" s="1161"/>
      <c r="Y791" s="1161"/>
      <c r="Z791" s="1161"/>
      <c r="AA791" s="1161"/>
      <c r="AB791" s="1162"/>
      <c r="AC791" s="729"/>
    </row>
    <row r="792" spans="1:29" ht="22.5" customHeight="1" thickTop="1" thickBot="1" x14ac:dyDescent="0.3">
      <c r="A792" s="425"/>
      <c r="B792" s="505"/>
      <c r="C792" s="505"/>
      <c r="D792" s="505"/>
      <c r="E792" s="505"/>
      <c r="F792" s="505"/>
      <c r="G792" s="505"/>
      <c r="H792" s="505"/>
      <c r="I792" s="505"/>
      <c r="J792" s="505"/>
      <c r="K792" s="609"/>
      <c r="L792" s="1161"/>
      <c r="M792" s="1161"/>
      <c r="N792" s="1161"/>
      <c r="O792" s="1161"/>
      <c r="P792" s="1161"/>
      <c r="Q792" s="1161"/>
      <c r="R792" s="1161"/>
      <c r="S792" s="1161"/>
      <c r="T792" s="1161"/>
      <c r="U792" s="1161"/>
      <c r="V792" s="1161"/>
      <c r="W792" s="1161"/>
      <c r="X792" s="1161"/>
      <c r="Y792" s="1161"/>
      <c r="Z792" s="1161"/>
      <c r="AA792" s="1161"/>
      <c r="AB792" s="1162"/>
      <c r="AC792" s="729"/>
    </row>
    <row r="793" spans="1:29" ht="22.5" customHeight="1" thickTop="1" thickBot="1" x14ac:dyDescent="0.3">
      <c r="A793" s="425"/>
      <c r="B793" s="505"/>
      <c r="C793" s="505"/>
      <c r="D793" s="505"/>
      <c r="E793" s="505"/>
      <c r="F793" s="505"/>
      <c r="G793" s="505"/>
      <c r="H793" s="505"/>
      <c r="I793" s="505"/>
      <c r="J793" s="505"/>
      <c r="K793" s="609"/>
      <c r="L793" s="1161"/>
      <c r="M793" s="1161"/>
      <c r="N793" s="1161"/>
      <c r="O793" s="1161"/>
      <c r="P793" s="1161"/>
      <c r="Q793" s="1161"/>
      <c r="R793" s="1161"/>
      <c r="S793" s="1161"/>
      <c r="T793" s="1161"/>
      <c r="U793" s="1161"/>
      <c r="V793" s="1161"/>
      <c r="W793" s="1161"/>
      <c r="X793" s="1161"/>
      <c r="Y793" s="1161"/>
      <c r="Z793" s="1161"/>
      <c r="AA793" s="1161"/>
      <c r="AB793" s="1162"/>
      <c r="AC793" s="729"/>
    </row>
    <row r="794" spans="1:29" ht="22.5" customHeight="1" thickTop="1" thickBot="1" x14ac:dyDescent="0.3">
      <c r="A794" s="425"/>
      <c r="B794" s="505"/>
      <c r="C794" s="505"/>
      <c r="D794" s="505"/>
      <c r="E794" s="505"/>
      <c r="F794" s="505"/>
      <c r="G794" s="505"/>
      <c r="H794" s="505"/>
      <c r="I794" s="505"/>
      <c r="J794" s="505"/>
      <c r="K794" s="609"/>
      <c r="L794" s="1161"/>
      <c r="M794" s="1161"/>
      <c r="N794" s="1161"/>
      <c r="O794" s="1161"/>
      <c r="P794" s="1161"/>
      <c r="Q794" s="1161"/>
      <c r="R794" s="1161"/>
      <c r="S794" s="1161"/>
      <c r="T794" s="1161"/>
      <c r="U794" s="1161"/>
      <c r="V794" s="1161"/>
      <c r="W794" s="1161"/>
      <c r="X794" s="1161"/>
      <c r="Y794" s="1161"/>
      <c r="Z794" s="1161"/>
      <c r="AA794" s="1161"/>
      <c r="AB794" s="1162"/>
      <c r="AC794" s="729"/>
    </row>
    <row r="795" spans="1:29" ht="22.5" customHeight="1" thickTop="1" thickBot="1" x14ac:dyDescent="0.3">
      <c r="A795" s="425"/>
      <c r="B795" s="505"/>
      <c r="C795" s="505"/>
      <c r="D795" s="505"/>
      <c r="E795" s="505"/>
      <c r="F795" s="505"/>
      <c r="G795" s="505"/>
      <c r="H795" s="505"/>
      <c r="I795" s="505"/>
      <c r="J795" s="505"/>
      <c r="K795" s="609"/>
      <c r="L795" s="1161"/>
      <c r="M795" s="1161"/>
      <c r="N795" s="1161"/>
      <c r="O795" s="1161"/>
      <c r="P795" s="1161"/>
      <c r="Q795" s="1161"/>
      <c r="R795" s="1161"/>
      <c r="S795" s="1161"/>
      <c r="T795" s="1161"/>
      <c r="U795" s="1161"/>
      <c r="V795" s="1161"/>
      <c r="W795" s="1161"/>
      <c r="X795" s="1161"/>
      <c r="Y795" s="1161"/>
      <c r="Z795" s="1161"/>
      <c r="AA795" s="1161"/>
      <c r="AB795" s="1162"/>
      <c r="AC795" s="729"/>
    </row>
    <row r="796" spans="1:29" ht="22.5" customHeight="1" thickTop="1" thickBot="1" x14ac:dyDescent="0.3">
      <c r="A796" s="425"/>
      <c r="B796" s="505"/>
      <c r="C796" s="505"/>
      <c r="D796" s="505"/>
      <c r="E796" s="505"/>
      <c r="F796" s="505"/>
      <c r="G796" s="505"/>
      <c r="H796" s="505"/>
      <c r="I796" s="505"/>
      <c r="J796" s="505"/>
      <c r="K796" s="609"/>
      <c r="L796" s="1161"/>
      <c r="M796" s="1161"/>
      <c r="N796" s="1161"/>
      <c r="O796" s="1161"/>
      <c r="P796" s="1161"/>
      <c r="Q796" s="1161"/>
      <c r="R796" s="1161"/>
      <c r="S796" s="1161"/>
      <c r="T796" s="1161"/>
      <c r="U796" s="1161"/>
      <c r="V796" s="1161"/>
      <c r="W796" s="1161"/>
      <c r="X796" s="1161"/>
      <c r="Y796" s="1161"/>
      <c r="Z796" s="1161"/>
      <c r="AA796" s="1161"/>
      <c r="AB796" s="1162"/>
      <c r="AC796" s="729"/>
    </row>
    <row r="797" spans="1:29" ht="22.5" customHeight="1" thickTop="1" thickBot="1" x14ac:dyDescent="0.3">
      <c r="A797" s="425"/>
      <c r="B797" s="505"/>
      <c r="C797" s="505"/>
      <c r="D797" s="505"/>
      <c r="E797" s="505"/>
      <c r="F797" s="505"/>
      <c r="G797" s="505"/>
      <c r="H797" s="505"/>
      <c r="I797" s="505"/>
      <c r="J797" s="505"/>
      <c r="K797" s="609"/>
      <c r="L797" s="1161"/>
      <c r="M797" s="1161"/>
      <c r="N797" s="1161"/>
      <c r="O797" s="1161"/>
      <c r="P797" s="1161"/>
      <c r="Q797" s="1161"/>
      <c r="R797" s="1161"/>
      <c r="S797" s="1161"/>
      <c r="T797" s="1161"/>
      <c r="U797" s="1161"/>
      <c r="V797" s="1161"/>
      <c r="W797" s="1161"/>
      <c r="X797" s="1161"/>
      <c r="Y797" s="1161"/>
      <c r="Z797" s="1161"/>
      <c r="AA797" s="1161"/>
      <c r="AB797" s="1162"/>
      <c r="AC797" s="729"/>
    </row>
    <row r="798" spans="1:29" ht="22.5" customHeight="1" thickTop="1" thickBot="1" x14ac:dyDescent="0.3">
      <c r="A798" s="425"/>
      <c r="B798" s="505"/>
      <c r="C798" s="505"/>
      <c r="D798" s="505"/>
      <c r="E798" s="505"/>
      <c r="F798" s="505"/>
      <c r="G798" s="505"/>
      <c r="H798" s="505"/>
      <c r="I798" s="505"/>
      <c r="J798" s="505"/>
      <c r="K798" s="609"/>
      <c r="L798" s="1161"/>
      <c r="M798" s="1161"/>
      <c r="N798" s="1161"/>
      <c r="O798" s="1161"/>
      <c r="P798" s="1161"/>
      <c r="Q798" s="1161"/>
      <c r="R798" s="1161"/>
      <c r="S798" s="1161"/>
      <c r="T798" s="1161"/>
      <c r="U798" s="1161"/>
      <c r="V798" s="1161"/>
      <c r="W798" s="1161"/>
      <c r="X798" s="1161"/>
      <c r="Y798" s="1161"/>
      <c r="Z798" s="1161"/>
      <c r="AA798" s="1161"/>
      <c r="AB798" s="1162"/>
      <c r="AC798" s="729"/>
    </row>
    <row r="799" spans="1:29" ht="22.5" customHeight="1" thickTop="1" thickBot="1" x14ac:dyDescent="0.3">
      <c r="A799" s="425"/>
      <c r="B799" s="505"/>
      <c r="C799" s="505"/>
      <c r="D799" s="505"/>
      <c r="E799" s="505"/>
      <c r="F799" s="505"/>
      <c r="G799" s="505"/>
      <c r="H799" s="505"/>
      <c r="I799" s="505"/>
      <c r="J799" s="505"/>
      <c r="K799" s="609"/>
      <c r="L799" s="1161"/>
      <c r="M799" s="1161"/>
      <c r="N799" s="1161"/>
      <c r="O799" s="1161"/>
      <c r="P799" s="1161"/>
      <c r="Q799" s="1161"/>
      <c r="R799" s="1161"/>
      <c r="S799" s="1161"/>
      <c r="T799" s="1161"/>
      <c r="U799" s="1161"/>
      <c r="V799" s="1161"/>
      <c r="W799" s="1161"/>
      <c r="X799" s="1161"/>
      <c r="Y799" s="1161"/>
      <c r="Z799" s="1161"/>
      <c r="AA799" s="1161"/>
      <c r="AB799" s="1162"/>
      <c r="AC799" s="729"/>
    </row>
    <row r="800" spans="1:29" ht="22.5" customHeight="1" thickTop="1" thickBot="1" x14ac:dyDescent="0.3">
      <c r="A800" s="425"/>
      <c r="B800" s="505"/>
      <c r="C800" s="505"/>
      <c r="D800" s="505"/>
      <c r="E800" s="505"/>
      <c r="F800" s="505"/>
      <c r="G800" s="505"/>
      <c r="H800" s="505"/>
      <c r="I800" s="505"/>
      <c r="J800" s="505"/>
      <c r="K800" s="609"/>
      <c r="L800" s="1161"/>
      <c r="M800" s="1161"/>
      <c r="N800" s="1161"/>
      <c r="O800" s="1161"/>
      <c r="P800" s="1161"/>
      <c r="Q800" s="1161"/>
      <c r="R800" s="1161"/>
      <c r="S800" s="1161"/>
      <c r="T800" s="1161"/>
      <c r="U800" s="1161"/>
      <c r="V800" s="1161"/>
      <c r="W800" s="1161"/>
      <c r="X800" s="1161"/>
      <c r="Y800" s="1161"/>
      <c r="Z800" s="1161"/>
      <c r="AA800" s="1161"/>
      <c r="AB800" s="1162"/>
      <c r="AC800" s="729"/>
    </row>
    <row r="801" spans="1:29" ht="22.5" customHeight="1" thickTop="1" thickBot="1" x14ac:dyDescent="0.3">
      <c r="A801" s="425"/>
      <c r="B801" s="505"/>
      <c r="C801" s="505"/>
      <c r="D801" s="505"/>
      <c r="E801" s="505"/>
      <c r="F801" s="505"/>
      <c r="G801" s="505"/>
      <c r="H801" s="505"/>
      <c r="I801" s="505"/>
      <c r="J801" s="505"/>
      <c r="K801" s="609"/>
      <c r="L801" s="1161"/>
      <c r="M801" s="1161"/>
      <c r="N801" s="1161"/>
      <c r="O801" s="1161"/>
      <c r="P801" s="1161"/>
      <c r="Q801" s="1161"/>
      <c r="R801" s="1161"/>
      <c r="S801" s="1161"/>
      <c r="T801" s="1161"/>
      <c r="U801" s="1161"/>
      <c r="V801" s="1161"/>
      <c r="W801" s="1161"/>
      <c r="X801" s="1161"/>
      <c r="Y801" s="1161"/>
      <c r="Z801" s="1161"/>
      <c r="AA801" s="1161"/>
      <c r="AB801" s="1162"/>
      <c r="AC801" s="729"/>
    </row>
    <row r="802" spans="1:29" ht="22.5" customHeight="1" thickTop="1" thickBot="1" x14ac:dyDescent="0.3">
      <c r="A802" s="425"/>
      <c r="B802" s="505"/>
      <c r="C802" s="505"/>
      <c r="D802" s="505"/>
      <c r="E802" s="505"/>
      <c r="F802" s="505"/>
      <c r="G802" s="505"/>
      <c r="H802" s="505"/>
      <c r="I802" s="505"/>
      <c r="J802" s="505"/>
      <c r="K802" s="609"/>
      <c r="L802" s="1161"/>
      <c r="M802" s="1161"/>
      <c r="N802" s="1161"/>
      <c r="O802" s="1161"/>
      <c r="P802" s="1161"/>
      <c r="Q802" s="1161"/>
      <c r="R802" s="1161"/>
      <c r="S802" s="1161"/>
      <c r="T802" s="1161"/>
      <c r="U802" s="1161"/>
      <c r="V802" s="1161"/>
      <c r="W802" s="1161"/>
      <c r="X802" s="1161"/>
      <c r="Y802" s="1161"/>
      <c r="Z802" s="1161"/>
      <c r="AA802" s="1161"/>
      <c r="AB802" s="1162"/>
      <c r="AC802" s="729"/>
    </row>
    <row r="803" spans="1:29" ht="22.5" customHeight="1" thickTop="1" thickBot="1" x14ac:dyDescent="0.3">
      <c r="A803" s="425"/>
      <c r="B803" s="505"/>
      <c r="C803" s="505"/>
      <c r="D803" s="505"/>
      <c r="E803" s="505"/>
      <c r="F803" s="505"/>
      <c r="G803" s="505"/>
      <c r="H803" s="505"/>
      <c r="I803" s="505"/>
      <c r="J803" s="505"/>
      <c r="K803" s="609"/>
      <c r="L803" s="1161"/>
      <c r="M803" s="1161"/>
      <c r="N803" s="1161"/>
      <c r="O803" s="1161"/>
      <c r="P803" s="1161"/>
      <c r="Q803" s="1161"/>
      <c r="R803" s="1161"/>
      <c r="S803" s="1161"/>
      <c r="T803" s="1161"/>
      <c r="U803" s="1161"/>
      <c r="V803" s="1161"/>
      <c r="W803" s="1161"/>
      <c r="X803" s="1161"/>
      <c r="Y803" s="1161"/>
      <c r="Z803" s="1161"/>
      <c r="AA803" s="1161"/>
      <c r="AB803" s="1162"/>
      <c r="AC803" s="729"/>
    </row>
    <row r="804" spans="1:29" ht="22.5" customHeight="1" thickTop="1" thickBot="1" x14ac:dyDescent="0.3">
      <c r="A804" s="425"/>
      <c r="B804" s="505"/>
      <c r="C804" s="505"/>
      <c r="D804" s="505"/>
      <c r="E804" s="505"/>
      <c r="F804" s="505"/>
      <c r="G804" s="505"/>
      <c r="H804" s="505"/>
      <c r="I804" s="505"/>
      <c r="J804" s="505"/>
      <c r="K804" s="609"/>
      <c r="L804" s="1161"/>
      <c r="M804" s="1161"/>
      <c r="N804" s="1161"/>
      <c r="O804" s="1161"/>
      <c r="P804" s="1161"/>
      <c r="Q804" s="1161"/>
      <c r="R804" s="1161"/>
      <c r="S804" s="1161"/>
      <c r="T804" s="1161"/>
      <c r="U804" s="1161"/>
      <c r="V804" s="1161"/>
      <c r="W804" s="1161"/>
      <c r="X804" s="1161"/>
      <c r="Y804" s="1161"/>
      <c r="Z804" s="1161"/>
      <c r="AA804" s="1161"/>
      <c r="AB804" s="1162"/>
      <c r="AC804" s="729"/>
    </row>
    <row r="805" spans="1:29" ht="22.5" customHeight="1" thickTop="1" thickBot="1" x14ac:dyDescent="0.3">
      <c r="A805" s="425"/>
      <c r="B805" s="505"/>
      <c r="C805" s="505"/>
      <c r="D805" s="505"/>
      <c r="E805" s="505"/>
      <c r="F805" s="505"/>
      <c r="G805" s="505"/>
      <c r="H805" s="505"/>
      <c r="I805" s="505"/>
      <c r="J805" s="505"/>
      <c r="K805" s="609"/>
      <c r="L805" s="1161"/>
      <c r="M805" s="1161"/>
      <c r="N805" s="1161"/>
      <c r="O805" s="1161"/>
      <c r="P805" s="1161"/>
      <c r="Q805" s="1161"/>
      <c r="R805" s="1161"/>
      <c r="S805" s="1161"/>
      <c r="T805" s="1161"/>
      <c r="U805" s="1161"/>
      <c r="V805" s="1161"/>
      <c r="W805" s="1161"/>
      <c r="X805" s="1161"/>
      <c r="Y805" s="1161"/>
      <c r="Z805" s="1161"/>
      <c r="AA805" s="1161"/>
      <c r="AB805" s="1162"/>
      <c r="AC805" s="729"/>
    </row>
    <row r="806" spans="1:29" ht="22.5" customHeight="1" thickTop="1" thickBot="1" x14ac:dyDescent="0.3">
      <c r="A806" s="425"/>
      <c r="B806" s="505"/>
      <c r="C806" s="505"/>
      <c r="D806" s="505"/>
      <c r="E806" s="505"/>
      <c r="F806" s="505"/>
      <c r="G806" s="505"/>
      <c r="H806" s="505"/>
      <c r="I806" s="505"/>
      <c r="J806" s="505"/>
      <c r="K806" s="609"/>
      <c r="L806" s="1161"/>
      <c r="M806" s="1161"/>
      <c r="N806" s="1161"/>
      <c r="O806" s="1161"/>
      <c r="P806" s="1161"/>
      <c r="Q806" s="1161"/>
      <c r="R806" s="1161"/>
      <c r="S806" s="1161"/>
      <c r="T806" s="1161"/>
      <c r="U806" s="1161"/>
      <c r="V806" s="1161"/>
      <c r="W806" s="1161"/>
      <c r="X806" s="1161"/>
      <c r="Y806" s="1161"/>
      <c r="Z806" s="1161"/>
      <c r="AA806" s="1161"/>
      <c r="AB806" s="1162"/>
      <c r="AC806" s="729"/>
    </row>
    <row r="807" spans="1:29" ht="22.5" customHeight="1" thickTop="1" thickBot="1" x14ac:dyDescent="0.3">
      <c r="A807" s="425"/>
      <c r="B807" s="505"/>
      <c r="C807" s="505"/>
      <c r="D807" s="505"/>
      <c r="E807" s="505"/>
      <c r="F807" s="505"/>
      <c r="G807" s="505"/>
      <c r="H807" s="505"/>
      <c r="I807" s="505"/>
      <c r="J807" s="505"/>
      <c r="K807" s="609"/>
      <c r="L807" s="1161"/>
      <c r="M807" s="1161"/>
      <c r="N807" s="1161"/>
      <c r="O807" s="1161"/>
      <c r="P807" s="1161"/>
      <c r="Q807" s="1161"/>
      <c r="R807" s="1161"/>
      <c r="S807" s="1161"/>
      <c r="T807" s="1161"/>
      <c r="U807" s="1161"/>
      <c r="V807" s="1161"/>
      <c r="W807" s="1161"/>
      <c r="X807" s="1161"/>
      <c r="Y807" s="1161"/>
      <c r="Z807" s="1161"/>
      <c r="AA807" s="1161"/>
      <c r="AB807" s="1162"/>
      <c r="AC807" s="729"/>
    </row>
    <row r="808" spans="1:29" ht="22.5" customHeight="1" thickTop="1" thickBot="1" x14ac:dyDescent="0.3">
      <c r="A808" s="425"/>
      <c r="B808" s="505"/>
      <c r="C808" s="505"/>
      <c r="D808" s="505"/>
      <c r="E808" s="505"/>
      <c r="F808" s="505"/>
      <c r="G808" s="505"/>
      <c r="H808" s="505"/>
      <c r="I808" s="505"/>
      <c r="J808" s="505"/>
      <c r="K808" s="609"/>
      <c r="L808" s="1161"/>
      <c r="M808" s="1161"/>
      <c r="N808" s="1161"/>
      <c r="O808" s="1161"/>
      <c r="P808" s="1161"/>
      <c r="Q808" s="1161"/>
      <c r="R808" s="1161"/>
      <c r="S808" s="1161"/>
      <c r="T808" s="1161"/>
      <c r="U808" s="1161"/>
      <c r="V808" s="1161"/>
      <c r="W808" s="1161"/>
      <c r="X808" s="1161"/>
      <c r="Y808" s="1161"/>
      <c r="Z808" s="1161"/>
      <c r="AA808" s="1161"/>
      <c r="AB808" s="1162"/>
      <c r="AC808" s="729"/>
    </row>
    <row r="809" spans="1:29" ht="22.5" customHeight="1" thickTop="1" thickBot="1" x14ac:dyDescent="0.3">
      <c r="A809" s="425"/>
      <c r="B809" s="505"/>
      <c r="C809" s="505"/>
      <c r="D809" s="505"/>
      <c r="E809" s="505"/>
      <c r="F809" s="505"/>
      <c r="G809" s="505"/>
      <c r="H809" s="505"/>
      <c r="I809" s="505"/>
      <c r="J809" s="505"/>
      <c r="K809" s="609"/>
      <c r="L809" s="1161"/>
      <c r="M809" s="1161"/>
      <c r="N809" s="1161"/>
      <c r="O809" s="1161"/>
      <c r="P809" s="1161"/>
      <c r="Q809" s="1161"/>
      <c r="R809" s="1161"/>
      <c r="S809" s="1161"/>
      <c r="T809" s="1161"/>
      <c r="U809" s="1161"/>
      <c r="V809" s="1161"/>
      <c r="W809" s="1161"/>
      <c r="X809" s="1161"/>
      <c r="Y809" s="1161"/>
      <c r="Z809" s="1161"/>
      <c r="AA809" s="1161"/>
      <c r="AB809" s="1162"/>
      <c r="AC809" s="729"/>
    </row>
    <row r="810" spans="1:29" ht="22.5" customHeight="1" thickTop="1" thickBot="1" x14ac:dyDescent="0.3">
      <c r="A810" s="425"/>
      <c r="B810" s="505"/>
      <c r="C810" s="505"/>
      <c r="D810" s="505"/>
      <c r="E810" s="505"/>
      <c r="F810" s="505"/>
      <c r="G810" s="505"/>
      <c r="H810" s="505"/>
      <c r="I810" s="505"/>
      <c r="J810" s="505"/>
      <c r="K810" s="609"/>
      <c r="L810" s="1161"/>
      <c r="M810" s="1161"/>
      <c r="N810" s="1161"/>
      <c r="O810" s="1161"/>
      <c r="P810" s="1161"/>
      <c r="Q810" s="1161"/>
      <c r="R810" s="1161"/>
      <c r="S810" s="1161"/>
      <c r="T810" s="1161"/>
      <c r="U810" s="1161"/>
      <c r="V810" s="1161"/>
      <c r="W810" s="1161"/>
      <c r="X810" s="1161"/>
      <c r="Y810" s="1161"/>
      <c r="Z810" s="1161"/>
      <c r="AA810" s="1161"/>
      <c r="AB810" s="1162"/>
      <c r="AC810" s="729"/>
    </row>
    <row r="811" spans="1:29" ht="22.5" customHeight="1" thickTop="1" thickBot="1" x14ac:dyDescent="0.3">
      <c r="A811" s="425"/>
      <c r="B811" s="505"/>
      <c r="C811" s="505"/>
      <c r="D811" s="505"/>
      <c r="E811" s="505"/>
      <c r="F811" s="505"/>
      <c r="G811" s="505"/>
      <c r="H811" s="505"/>
      <c r="I811" s="505"/>
      <c r="J811" s="505"/>
      <c r="K811" s="609"/>
      <c r="L811" s="1161"/>
      <c r="M811" s="1161"/>
      <c r="N811" s="1161"/>
      <c r="O811" s="1161"/>
      <c r="P811" s="1161"/>
      <c r="Q811" s="1161"/>
      <c r="R811" s="1161"/>
      <c r="S811" s="1161"/>
      <c r="T811" s="1161"/>
      <c r="U811" s="1161"/>
      <c r="V811" s="1161"/>
      <c r="W811" s="1161"/>
      <c r="X811" s="1161"/>
      <c r="Y811" s="1161"/>
      <c r="Z811" s="1161"/>
      <c r="AA811" s="1161"/>
      <c r="AB811" s="1162"/>
      <c r="AC811" s="729"/>
    </row>
    <row r="812" spans="1:29" ht="22.5" customHeight="1" thickTop="1" thickBot="1" x14ac:dyDescent="0.3">
      <c r="A812" s="425"/>
      <c r="B812" s="505"/>
      <c r="C812" s="505"/>
      <c r="D812" s="505"/>
      <c r="E812" s="505"/>
      <c r="F812" s="505"/>
      <c r="G812" s="505"/>
      <c r="H812" s="505"/>
      <c r="I812" s="505"/>
      <c r="J812" s="505"/>
      <c r="K812" s="609"/>
      <c r="L812" s="1161"/>
      <c r="M812" s="1161"/>
      <c r="N812" s="1161"/>
      <c r="O812" s="1161"/>
      <c r="P812" s="1161"/>
      <c r="Q812" s="1161"/>
      <c r="R812" s="1161"/>
      <c r="S812" s="1161"/>
      <c r="T812" s="1161"/>
      <c r="U812" s="1161"/>
      <c r="V812" s="1161"/>
      <c r="W812" s="1161"/>
      <c r="X812" s="1161"/>
      <c r="Y812" s="1161"/>
      <c r="Z812" s="1161"/>
      <c r="AA812" s="1161"/>
      <c r="AB812" s="1162"/>
      <c r="AC812" s="729"/>
    </row>
    <row r="813" spans="1:29" ht="22.5" customHeight="1" thickTop="1" thickBot="1" x14ac:dyDescent="0.3">
      <c r="A813" s="425"/>
      <c r="B813" s="505"/>
      <c r="C813" s="505"/>
      <c r="D813" s="505"/>
      <c r="E813" s="505"/>
      <c r="F813" s="505"/>
      <c r="G813" s="505"/>
      <c r="H813" s="505"/>
      <c r="I813" s="505"/>
      <c r="J813" s="505"/>
      <c r="K813" s="609"/>
      <c r="L813" s="1161"/>
      <c r="M813" s="1161"/>
      <c r="N813" s="1161"/>
      <c r="O813" s="1161"/>
      <c r="P813" s="1161"/>
      <c r="Q813" s="1161"/>
      <c r="R813" s="1161"/>
      <c r="S813" s="1161"/>
      <c r="T813" s="1161"/>
      <c r="U813" s="1161"/>
      <c r="V813" s="1161"/>
      <c r="W813" s="1161"/>
      <c r="X813" s="1161"/>
      <c r="Y813" s="1161"/>
      <c r="Z813" s="1161"/>
      <c r="AA813" s="1161"/>
      <c r="AB813" s="1162"/>
      <c r="AC813" s="729"/>
    </row>
    <row r="814" spans="1:29" ht="22.5" customHeight="1" thickTop="1" thickBot="1" x14ac:dyDescent="0.3">
      <c r="A814" s="425"/>
      <c r="B814" s="505"/>
      <c r="C814" s="505"/>
      <c r="D814" s="505"/>
      <c r="E814" s="505"/>
      <c r="F814" s="505"/>
      <c r="G814" s="505"/>
      <c r="H814" s="505"/>
      <c r="I814" s="505"/>
      <c r="J814" s="505"/>
      <c r="K814" s="609"/>
      <c r="L814" s="1161"/>
      <c r="M814" s="1161"/>
      <c r="N814" s="1161"/>
      <c r="O814" s="1161"/>
      <c r="P814" s="1161"/>
      <c r="Q814" s="1161"/>
      <c r="R814" s="1161"/>
      <c r="S814" s="1161"/>
      <c r="T814" s="1161"/>
      <c r="U814" s="1161"/>
      <c r="V814" s="1161"/>
      <c r="W814" s="1161"/>
      <c r="X814" s="1161"/>
      <c r="Y814" s="1161"/>
      <c r="Z814" s="1161"/>
      <c r="AA814" s="1161"/>
      <c r="AB814" s="1162"/>
      <c r="AC814" s="729"/>
    </row>
    <row r="815" spans="1:29" ht="22.5" customHeight="1" thickTop="1" thickBot="1" x14ac:dyDescent="0.3">
      <c r="A815" s="425"/>
      <c r="B815" s="505"/>
      <c r="C815" s="505"/>
      <c r="D815" s="505"/>
      <c r="E815" s="505"/>
      <c r="F815" s="505"/>
      <c r="G815" s="505"/>
      <c r="H815" s="505"/>
      <c r="I815" s="505"/>
      <c r="J815" s="505"/>
      <c r="K815" s="609"/>
      <c r="L815" s="1161"/>
      <c r="M815" s="1161"/>
      <c r="N815" s="1161"/>
      <c r="O815" s="1161"/>
      <c r="P815" s="1161"/>
      <c r="Q815" s="1161"/>
      <c r="R815" s="1161"/>
      <c r="S815" s="1161"/>
      <c r="T815" s="1161"/>
      <c r="U815" s="1161"/>
      <c r="V815" s="1161"/>
      <c r="W815" s="1161"/>
      <c r="X815" s="1161"/>
      <c r="Y815" s="1161"/>
      <c r="Z815" s="1161"/>
      <c r="AA815" s="1161"/>
      <c r="AB815" s="1162"/>
      <c r="AC815" s="729"/>
    </row>
    <row r="816" spans="1:29" ht="22.5" customHeight="1" thickTop="1" thickBot="1" x14ac:dyDescent="0.3">
      <c r="A816" s="425"/>
      <c r="B816" s="505"/>
      <c r="C816" s="505"/>
      <c r="D816" s="505"/>
      <c r="E816" s="505"/>
      <c r="F816" s="505"/>
      <c r="G816" s="505"/>
      <c r="H816" s="505"/>
      <c r="I816" s="505"/>
      <c r="J816" s="505"/>
      <c r="K816" s="609"/>
      <c r="L816" s="1161"/>
      <c r="M816" s="1161"/>
      <c r="N816" s="1161"/>
      <c r="O816" s="1161"/>
      <c r="P816" s="1161"/>
      <c r="Q816" s="1161"/>
      <c r="R816" s="1161"/>
      <c r="S816" s="1161"/>
      <c r="T816" s="1161"/>
      <c r="U816" s="1161"/>
      <c r="V816" s="1161"/>
      <c r="W816" s="1161"/>
      <c r="X816" s="1161"/>
      <c r="Y816" s="1161"/>
      <c r="Z816" s="1161"/>
      <c r="AA816" s="1161"/>
      <c r="AB816" s="1162"/>
      <c r="AC816" s="729"/>
    </row>
    <row r="817" spans="1:29" ht="22.5" customHeight="1" thickTop="1" thickBot="1" x14ac:dyDescent="0.3">
      <c r="A817" s="425"/>
      <c r="B817" s="505"/>
      <c r="C817" s="505"/>
      <c r="D817" s="505"/>
      <c r="E817" s="505"/>
      <c r="F817" s="505"/>
      <c r="G817" s="505"/>
      <c r="H817" s="505"/>
      <c r="I817" s="505"/>
      <c r="J817" s="505"/>
      <c r="K817" s="609"/>
      <c r="L817" s="1161"/>
      <c r="M817" s="1161"/>
      <c r="N817" s="1161"/>
      <c r="O817" s="1161"/>
      <c r="P817" s="1161"/>
      <c r="Q817" s="1161"/>
      <c r="R817" s="1161"/>
      <c r="S817" s="1161"/>
      <c r="T817" s="1161"/>
      <c r="U817" s="1161"/>
      <c r="V817" s="1161"/>
      <c r="W817" s="1161"/>
      <c r="X817" s="1161"/>
      <c r="Y817" s="1161"/>
      <c r="Z817" s="1161"/>
      <c r="AA817" s="1161"/>
      <c r="AB817" s="1162"/>
      <c r="AC817" s="729"/>
    </row>
    <row r="818" spans="1:29" ht="22.5" customHeight="1" thickTop="1" thickBot="1" x14ac:dyDescent="0.3">
      <c r="A818" s="425"/>
      <c r="B818" s="505"/>
      <c r="C818" s="505"/>
      <c r="D818" s="505"/>
      <c r="E818" s="505"/>
      <c r="F818" s="505"/>
      <c r="G818" s="505"/>
      <c r="H818" s="505"/>
      <c r="I818" s="505"/>
      <c r="J818" s="505"/>
      <c r="K818" s="609"/>
      <c r="L818" s="1161"/>
      <c r="M818" s="1161"/>
      <c r="N818" s="1161"/>
      <c r="O818" s="1161"/>
      <c r="P818" s="1161"/>
      <c r="Q818" s="1161"/>
      <c r="R818" s="1161"/>
      <c r="S818" s="1161"/>
      <c r="T818" s="1161"/>
      <c r="U818" s="1161"/>
      <c r="V818" s="1161"/>
      <c r="W818" s="1161"/>
      <c r="X818" s="1161"/>
      <c r="Y818" s="1161"/>
      <c r="Z818" s="1161"/>
      <c r="AA818" s="1161"/>
      <c r="AB818" s="1162"/>
      <c r="AC818" s="729"/>
    </row>
    <row r="819" spans="1:29" ht="22.5" customHeight="1" thickTop="1" thickBot="1" x14ac:dyDescent="0.3">
      <c r="A819" s="425"/>
      <c r="B819" s="505"/>
      <c r="C819" s="505"/>
      <c r="D819" s="505"/>
      <c r="E819" s="505"/>
      <c r="F819" s="505"/>
      <c r="G819" s="505"/>
      <c r="H819" s="505"/>
      <c r="I819" s="505"/>
      <c r="J819" s="505"/>
      <c r="K819" s="609"/>
      <c r="L819" s="1161"/>
      <c r="M819" s="1161"/>
      <c r="N819" s="1161"/>
      <c r="O819" s="1161"/>
      <c r="P819" s="1161"/>
      <c r="Q819" s="1161"/>
      <c r="R819" s="1161"/>
      <c r="S819" s="1161"/>
      <c r="T819" s="1161"/>
      <c r="U819" s="1161"/>
      <c r="V819" s="1161"/>
      <c r="W819" s="1161"/>
      <c r="X819" s="1161"/>
      <c r="Y819" s="1161"/>
      <c r="Z819" s="1161"/>
      <c r="AA819" s="1161"/>
      <c r="AB819" s="1162"/>
      <c r="AC819" s="729"/>
    </row>
    <row r="820" spans="1:29" ht="22.5" customHeight="1" thickTop="1" thickBot="1" x14ac:dyDescent="0.3">
      <c r="A820" s="425"/>
      <c r="B820" s="505"/>
      <c r="C820" s="505"/>
      <c r="D820" s="505"/>
      <c r="E820" s="505"/>
      <c r="F820" s="505"/>
      <c r="G820" s="505"/>
      <c r="H820" s="505"/>
      <c r="I820" s="505"/>
      <c r="J820" s="505"/>
      <c r="K820" s="609"/>
      <c r="L820" s="1161"/>
      <c r="M820" s="1161"/>
      <c r="N820" s="1161"/>
      <c r="O820" s="1161"/>
      <c r="P820" s="1161"/>
      <c r="Q820" s="1161"/>
      <c r="R820" s="1161"/>
      <c r="S820" s="1161"/>
      <c r="T820" s="1161"/>
      <c r="U820" s="1161"/>
      <c r="V820" s="1161"/>
      <c r="W820" s="1161"/>
      <c r="X820" s="1161"/>
      <c r="Y820" s="1161"/>
      <c r="Z820" s="1161"/>
      <c r="AA820" s="1161"/>
      <c r="AB820" s="1162"/>
      <c r="AC820" s="729"/>
    </row>
    <row r="821" spans="1:29" ht="22.5" customHeight="1" thickTop="1" thickBot="1" x14ac:dyDescent="0.3">
      <c r="A821" s="425"/>
      <c r="B821" s="505"/>
      <c r="C821" s="505"/>
      <c r="D821" s="505"/>
      <c r="E821" s="505"/>
      <c r="F821" s="505"/>
      <c r="G821" s="505"/>
      <c r="H821" s="505"/>
      <c r="I821" s="505"/>
      <c r="J821" s="505"/>
      <c r="K821" s="609"/>
      <c r="L821" s="1161"/>
      <c r="M821" s="1161"/>
      <c r="N821" s="1161"/>
      <c r="O821" s="1161"/>
      <c r="P821" s="1161"/>
      <c r="Q821" s="1161"/>
      <c r="R821" s="1161"/>
      <c r="S821" s="1161"/>
      <c r="T821" s="1161"/>
      <c r="U821" s="1161"/>
      <c r="V821" s="1161"/>
      <c r="W821" s="1161"/>
      <c r="X821" s="1161"/>
      <c r="Y821" s="1161"/>
      <c r="Z821" s="1161"/>
      <c r="AA821" s="1161"/>
      <c r="AB821" s="1162"/>
      <c r="AC821" s="729"/>
    </row>
    <row r="822" spans="1:29" ht="22.5" customHeight="1" thickTop="1" thickBot="1" x14ac:dyDescent="0.3">
      <c r="A822" s="425"/>
      <c r="B822" s="505"/>
      <c r="C822" s="505"/>
      <c r="D822" s="505"/>
      <c r="E822" s="505"/>
      <c r="F822" s="505"/>
      <c r="G822" s="505"/>
      <c r="H822" s="505"/>
      <c r="I822" s="505"/>
      <c r="J822" s="505"/>
      <c r="K822" s="609"/>
      <c r="L822" s="1161"/>
      <c r="M822" s="1161"/>
      <c r="N822" s="1161"/>
      <c r="O822" s="1161"/>
      <c r="P822" s="1161"/>
      <c r="Q822" s="1161"/>
      <c r="R822" s="1161"/>
      <c r="S822" s="1161"/>
      <c r="T822" s="1161"/>
      <c r="U822" s="1161"/>
      <c r="V822" s="1161"/>
      <c r="W822" s="1161"/>
      <c r="X822" s="1161"/>
      <c r="Y822" s="1161"/>
      <c r="Z822" s="1161"/>
      <c r="AA822" s="1161"/>
      <c r="AB822" s="1162"/>
      <c r="AC822" s="729"/>
    </row>
    <row r="823" spans="1:29" ht="22.5" customHeight="1" thickTop="1" thickBot="1" x14ac:dyDescent="0.3">
      <c r="A823" s="425"/>
      <c r="B823" s="505"/>
      <c r="C823" s="505"/>
      <c r="D823" s="505"/>
      <c r="E823" s="505"/>
      <c r="F823" s="505"/>
      <c r="G823" s="505"/>
      <c r="H823" s="505"/>
      <c r="I823" s="505"/>
      <c r="J823" s="505"/>
      <c r="K823" s="609"/>
      <c r="L823" s="1161"/>
      <c r="M823" s="1161"/>
      <c r="N823" s="1161"/>
      <c r="O823" s="1161"/>
      <c r="P823" s="1161"/>
      <c r="Q823" s="1161"/>
      <c r="R823" s="1161"/>
      <c r="S823" s="1161"/>
      <c r="T823" s="1161"/>
      <c r="U823" s="1161"/>
      <c r="V823" s="1161"/>
      <c r="W823" s="1161"/>
      <c r="X823" s="1161"/>
      <c r="Y823" s="1161"/>
      <c r="Z823" s="1161"/>
      <c r="AA823" s="1161"/>
      <c r="AB823" s="1162"/>
      <c r="AC823" s="729"/>
    </row>
    <row r="824" spans="1:29" ht="22.5" customHeight="1" thickTop="1" thickBot="1" x14ac:dyDescent="0.3">
      <c r="A824" s="425"/>
      <c r="B824" s="505"/>
      <c r="C824" s="505"/>
      <c r="D824" s="505"/>
      <c r="E824" s="505"/>
      <c r="F824" s="505"/>
      <c r="G824" s="505"/>
      <c r="H824" s="505"/>
      <c r="I824" s="505"/>
      <c r="J824" s="505"/>
      <c r="K824" s="609"/>
      <c r="L824" s="1161"/>
      <c r="M824" s="1161"/>
      <c r="N824" s="1161"/>
      <c r="O824" s="1161"/>
      <c r="P824" s="1161"/>
      <c r="Q824" s="1161"/>
      <c r="R824" s="1161"/>
      <c r="S824" s="1161"/>
      <c r="T824" s="1161"/>
      <c r="U824" s="1161"/>
      <c r="V824" s="1161"/>
      <c r="W824" s="1161"/>
      <c r="X824" s="1161"/>
      <c r="Y824" s="1161"/>
      <c r="Z824" s="1161"/>
      <c r="AA824" s="1161"/>
      <c r="AB824" s="1162"/>
      <c r="AC824" s="729"/>
    </row>
    <row r="825" spans="1:29" ht="22.5" customHeight="1" thickTop="1" thickBot="1" x14ac:dyDescent="0.3">
      <c r="A825" s="425"/>
      <c r="B825" s="505"/>
      <c r="C825" s="505"/>
      <c r="D825" s="505"/>
      <c r="E825" s="505"/>
      <c r="F825" s="505"/>
      <c r="G825" s="505"/>
      <c r="H825" s="505"/>
      <c r="I825" s="505"/>
      <c r="J825" s="505"/>
      <c r="K825" s="609"/>
      <c r="L825" s="1161"/>
      <c r="M825" s="1161"/>
      <c r="N825" s="1161"/>
      <c r="O825" s="1161"/>
      <c r="P825" s="1161"/>
      <c r="Q825" s="1161"/>
      <c r="R825" s="1161"/>
      <c r="S825" s="1161"/>
      <c r="T825" s="1161"/>
      <c r="U825" s="1161"/>
      <c r="V825" s="1161"/>
      <c r="W825" s="1161"/>
      <c r="X825" s="1161"/>
      <c r="Y825" s="1161"/>
      <c r="Z825" s="1161"/>
      <c r="AA825" s="1161"/>
      <c r="AB825" s="1162"/>
      <c r="AC825" s="729"/>
    </row>
    <row r="826" spans="1:29" ht="22.5" customHeight="1" thickTop="1" thickBot="1" x14ac:dyDescent="0.3">
      <c r="A826" s="425"/>
      <c r="B826" s="505"/>
      <c r="C826" s="505"/>
      <c r="D826" s="505"/>
      <c r="E826" s="505"/>
      <c r="F826" s="505"/>
      <c r="G826" s="505"/>
      <c r="H826" s="505"/>
      <c r="I826" s="505"/>
      <c r="J826" s="505"/>
      <c r="K826" s="609"/>
      <c r="L826" s="1161"/>
      <c r="M826" s="1161"/>
      <c r="N826" s="1161"/>
      <c r="O826" s="1161"/>
      <c r="P826" s="1161"/>
      <c r="Q826" s="1161"/>
      <c r="R826" s="1161"/>
      <c r="S826" s="1161"/>
      <c r="T826" s="1161"/>
      <c r="U826" s="1161"/>
      <c r="V826" s="1161"/>
      <c r="W826" s="1161"/>
      <c r="X826" s="1161"/>
      <c r="Y826" s="1161"/>
      <c r="Z826" s="1161"/>
      <c r="AA826" s="1161"/>
      <c r="AB826" s="1162"/>
      <c r="AC826" s="729"/>
    </row>
    <row r="827" spans="1:29" ht="22.5" customHeight="1" thickTop="1" thickBot="1" x14ac:dyDescent="0.3">
      <c r="A827" s="425"/>
      <c r="B827" s="505"/>
      <c r="C827" s="505"/>
      <c r="D827" s="505"/>
      <c r="E827" s="505"/>
      <c r="F827" s="505"/>
      <c r="G827" s="505"/>
      <c r="H827" s="505"/>
      <c r="I827" s="505"/>
      <c r="J827" s="505"/>
      <c r="K827" s="609"/>
      <c r="L827" s="1161"/>
      <c r="M827" s="1161"/>
      <c r="N827" s="1161"/>
      <c r="O827" s="1161"/>
      <c r="P827" s="1161"/>
      <c r="Q827" s="1161"/>
      <c r="R827" s="1161"/>
      <c r="S827" s="1161"/>
      <c r="T827" s="1161"/>
      <c r="U827" s="1161"/>
      <c r="V827" s="1161"/>
      <c r="W827" s="1161"/>
      <c r="X827" s="1161"/>
      <c r="Y827" s="1161"/>
      <c r="Z827" s="1161"/>
      <c r="AA827" s="1161"/>
      <c r="AB827" s="1162"/>
      <c r="AC827" s="729"/>
    </row>
    <row r="828" spans="1:29" ht="22.5" customHeight="1" thickTop="1" thickBot="1" x14ac:dyDescent="0.3">
      <c r="A828" s="425"/>
      <c r="B828" s="505"/>
      <c r="C828" s="505"/>
      <c r="D828" s="505"/>
      <c r="E828" s="505"/>
      <c r="F828" s="505"/>
      <c r="G828" s="505"/>
      <c r="H828" s="505"/>
      <c r="I828" s="505"/>
      <c r="J828" s="505"/>
      <c r="K828" s="609"/>
      <c r="L828" s="1161"/>
      <c r="M828" s="1161"/>
      <c r="N828" s="1161"/>
      <c r="O828" s="1161"/>
      <c r="P828" s="1161"/>
      <c r="Q828" s="1161"/>
      <c r="R828" s="1161"/>
      <c r="S828" s="1161"/>
      <c r="T828" s="1161"/>
      <c r="U828" s="1161"/>
      <c r="V828" s="1161"/>
      <c r="W828" s="1161"/>
      <c r="X828" s="1161"/>
      <c r="Y828" s="1161"/>
      <c r="Z828" s="1161"/>
      <c r="AA828" s="1161"/>
      <c r="AB828" s="1162"/>
      <c r="AC828" s="729"/>
    </row>
    <row r="829" spans="1:29" ht="22.5" customHeight="1" thickTop="1" thickBot="1" x14ac:dyDescent="0.3">
      <c r="A829" s="425"/>
      <c r="B829" s="505"/>
      <c r="C829" s="505"/>
      <c r="D829" s="505"/>
      <c r="E829" s="505"/>
      <c r="F829" s="505"/>
      <c r="G829" s="505"/>
      <c r="H829" s="505"/>
      <c r="I829" s="505"/>
      <c r="J829" s="505"/>
      <c r="K829" s="609"/>
      <c r="L829" s="1161"/>
      <c r="M829" s="1161"/>
      <c r="N829" s="1161"/>
      <c r="O829" s="1161"/>
      <c r="P829" s="1161"/>
      <c r="Q829" s="1161"/>
      <c r="R829" s="1161"/>
      <c r="S829" s="1161"/>
      <c r="T829" s="1161"/>
      <c r="U829" s="1161"/>
      <c r="V829" s="1161"/>
      <c r="W829" s="1161"/>
      <c r="X829" s="1161"/>
      <c r="Y829" s="1161"/>
      <c r="Z829" s="1161"/>
      <c r="AA829" s="1161"/>
      <c r="AB829" s="1162"/>
      <c r="AC829" s="729"/>
    </row>
    <row r="830" spans="1:29" ht="22.5" customHeight="1" thickTop="1" thickBot="1" x14ac:dyDescent="0.3">
      <c r="A830" s="425"/>
      <c r="B830" s="505"/>
      <c r="C830" s="505"/>
      <c r="D830" s="505"/>
      <c r="E830" s="505"/>
      <c r="F830" s="505"/>
      <c r="G830" s="505"/>
      <c r="H830" s="505"/>
      <c r="I830" s="505"/>
      <c r="J830" s="505"/>
      <c r="K830" s="609"/>
      <c r="L830" s="1161"/>
      <c r="M830" s="1161"/>
      <c r="N830" s="1161"/>
      <c r="O830" s="1161"/>
      <c r="P830" s="1161"/>
      <c r="Q830" s="1161"/>
      <c r="R830" s="1161"/>
      <c r="S830" s="1161"/>
      <c r="T830" s="1161"/>
      <c r="U830" s="1161"/>
      <c r="V830" s="1161"/>
      <c r="W830" s="1161"/>
      <c r="X830" s="1161"/>
      <c r="Y830" s="1161"/>
      <c r="Z830" s="1161"/>
      <c r="AA830" s="1161"/>
      <c r="AB830" s="1162"/>
      <c r="AC830" s="729"/>
    </row>
    <row r="831" spans="1:29" ht="22.5" customHeight="1" thickTop="1" thickBot="1" x14ac:dyDescent="0.3">
      <c r="A831" s="425"/>
      <c r="B831" s="505"/>
      <c r="C831" s="505"/>
      <c r="D831" s="505"/>
      <c r="E831" s="505"/>
      <c r="F831" s="505"/>
      <c r="G831" s="505"/>
      <c r="H831" s="505"/>
      <c r="I831" s="505"/>
      <c r="J831" s="505"/>
      <c r="K831" s="609"/>
      <c r="L831" s="1161"/>
      <c r="M831" s="1161"/>
      <c r="N831" s="1161"/>
      <c r="O831" s="1161"/>
      <c r="P831" s="1161"/>
      <c r="Q831" s="1161"/>
      <c r="R831" s="1161"/>
      <c r="S831" s="1161"/>
      <c r="T831" s="1161"/>
      <c r="U831" s="1161"/>
      <c r="V831" s="1161"/>
      <c r="W831" s="1161"/>
      <c r="X831" s="1161"/>
      <c r="Y831" s="1161"/>
      <c r="Z831" s="1161"/>
      <c r="AA831" s="1161"/>
      <c r="AB831" s="1162"/>
      <c r="AC831" s="729"/>
    </row>
    <row r="832" spans="1:29" ht="22.5" customHeight="1" thickTop="1" thickBot="1" x14ac:dyDescent="0.3">
      <c r="A832" s="425"/>
      <c r="B832" s="505"/>
      <c r="C832" s="505"/>
      <c r="D832" s="505"/>
      <c r="E832" s="505"/>
      <c r="F832" s="505"/>
      <c r="G832" s="505"/>
      <c r="H832" s="505"/>
      <c r="I832" s="505"/>
      <c r="J832" s="505"/>
      <c r="K832" s="609"/>
      <c r="L832" s="1161"/>
      <c r="M832" s="1161"/>
      <c r="N832" s="1161"/>
      <c r="O832" s="1161"/>
      <c r="P832" s="1161"/>
      <c r="Q832" s="1161"/>
      <c r="R832" s="1161"/>
      <c r="S832" s="1161"/>
      <c r="T832" s="1161"/>
      <c r="U832" s="1161"/>
      <c r="V832" s="1161"/>
      <c r="W832" s="1161"/>
      <c r="X832" s="1161"/>
      <c r="Y832" s="1161"/>
      <c r="Z832" s="1161"/>
      <c r="AA832" s="1161"/>
      <c r="AB832" s="1162"/>
      <c r="AC832" s="729"/>
    </row>
    <row r="833" spans="1:29" ht="22.5" customHeight="1" thickTop="1" thickBot="1" x14ac:dyDescent="0.3">
      <c r="A833" s="425"/>
      <c r="B833" s="505"/>
      <c r="C833" s="505"/>
      <c r="D833" s="505"/>
      <c r="E833" s="505"/>
      <c r="F833" s="505"/>
      <c r="G833" s="505"/>
      <c r="H833" s="505"/>
      <c r="I833" s="505"/>
      <c r="J833" s="505"/>
      <c r="K833" s="609"/>
      <c r="L833" s="1161"/>
      <c r="M833" s="1161"/>
      <c r="N833" s="1161"/>
      <c r="O833" s="1161"/>
      <c r="P833" s="1161"/>
      <c r="Q833" s="1161"/>
      <c r="R833" s="1161"/>
      <c r="S833" s="1161"/>
      <c r="T833" s="1161"/>
      <c r="U833" s="1161"/>
      <c r="V833" s="1161"/>
      <c r="W833" s="1161"/>
      <c r="X833" s="1161"/>
      <c r="Y833" s="1161"/>
      <c r="Z833" s="1161"/>
      <c r="AA833" s="1161"/>
      <c r="AB833" s="1162"/>
      <c r="AC833" s="729"/>
    </row>
    <row r="834" spans="1:29" ht="22.5" customHeight="1" thickTop="1" thickBot="1" x14ac:dyDescent="0.3">
      <c r="A834" s="425"/>
      <c r="B834" s="505"/>
      <c r="C834" s="505"/>
      <c r="D834" s="505"/>
      <c r="E834" s="505"/>
      <c r="F834" s="505"/>
      <c r="G834" s="505"/>
      <c r="H834" s="505"/>
      <c r="I834" s="505"/>
      <c r="J834" s="505"/>
      <c r="K834" s="609"/>
      <c r="L834" s="1161"/>
      <c r="M834" s="1161"/>
      <c r="N834" s="1161"/>
      <c r="O834" s="1161"/>
      <c r="P834" s="1161"/>
      <c r="Q834" s="1161"/>
      <c r="R834" s="1161"/>
      <c r="S834" s="1161"/>
      <c r="T834" s="1161"/>
      <c r="U834" s="1161"/>
      <c r="V834" s="1161"/>
      <c r="W834" s="1161"/>
      <c r="X834" s="1161"/>
      <c r="Y834" s="1161"/>
      <c r="Z834" s="1161"/>
      <c r="AA834" s="1161"/>
      <c r="AB834" s="1162"/>
      <c r="AC834" s="729"/>
    </row>
    <row r="835" spans="1:29" ht="22.5" customHeight="1" thickTop="1" thickBot="1" x14ac:dyDescent="0.3">
      <c r="A835" s="425"/>
      <c r="B835" s="505"/>
      <c r="C835" s="505"/>
      <c r="D835" s="505"/>
      <c r="E835" s="505"/>
      <c r="F835" s="505"/>
      <c r="G835" s="505"/>
      <c r="H835" s="505"/>
      <c r="I835" s="505"/>
      <c r="J835" s="505"/>
      <c r="K835" s="609"/>
      <c r="L835" s="1161"/>
      <c r="M835" s="1161"/>
      <c r="N835" s="1161"/>
      <c r="O835" s="1161"/>
      <c r="P835" s="1161"/>
      <c r="Q835" s="1161"/>
      <c r="R835" s="1161"/>
      <c r="S835" s="1161"/>
      <c r="T835" s="1161"/>
      <c r="U835" s="1161"/>
      <c r="V835" s="1161"/>
      <c r="W835" s="1161"/>
      <c r="X835" s="1161"/>
      <c r="Y835" s="1161"/>
      <c r="Z835" s="1161"/>
      <c r="AA835" s="1161"/>
      <c r="AB835" s="1162"/>
      <c r="AC835" s="729"/>
    </row>
    <row r="836" spans="1:29" ht="22.5" customHeight="1" thickTop="1" thickBot="1" x14ac:dyDescent="0.3">
      <c r="A836" s="425"/>
      <c r="B836" s="505"/>
      <c r="C836" s="505"/>
      <c r="D836" s="505"/>
      <c r="E836" s="505"/>
      <c r="F836" s="505"/>
      <c r="G836" s="505"/>
      <c r="H836" s="505"/>
      <c r="I836" s="505"/>
      <c r="J836" s="505"/>
      <c r="K836" s="609"/>
      <c r="L836" s="1161"/>
      <c r="M836" s="1161"/>
      <c r="N836" s="1161"/>
      <c r="O836" s="1161"/>
      <c r="P836" s="1161"/>
      <c r="Q836" s="1161"/>
      <c r="R836" s="1161"/>
      <c r="S836" s="1161"/>
      <c r="T836" s="1161"/>
      <c r="U836" s="1161"/>
      <c r="V836" s="1161"/>
      <c r="W836" s="1161"/>
      <c r="X836" s="1161"/>
      <c r="Y836" s="1161"/>
      <c r="Z836" s="1161"/>
      <c r="AA836" s="1161"/>
      <c r="AB836" s="1162"/>
      <c r="AC836" s="729"/>
    </row>
    <row r="837" spans="1:29" ht="22.5" customHeight="1" thickTop="1" thickBot="1" x14ac:dyDescent="0.3">
      <c r="A837" s="425"/>
      <c r="B837" s="505"/>
      <c r="C837" s="505"/>
      <c r="D837" s="505"/>
      <c r="E837" s="505"/>
      <c r="F837" s="505"/>
      <c r="G837" s="505"/>
      <c r="H837" s="505"/>
      <c r="I837" s="505"/>
      <c r="J837" s="505"/>
      <c r="K837" s="609"/>
      <c r="L837" s="1161"/>
      <c r="M837" s="1161"/>
      <c r="N837" s="1161"/>
      <c r="O837" s="1161"/>
      <c r="P837" s="1161"/>
      <c r="Q837" s="1161"/>
      <c r="R837" s="1161"/>
      <c r="S837" s="1161"/>
      <c r="T837" s="1161"/>
      <c r="U837" s="1161"/>
      <c r="V837" s="1161"/>
      <c r="W837" s="1161"/>
      <c r="X837" s="1161"/>
      <c r="Y837" s="1161"/>
      <c r="Z837" s="1161"/>
      <c r="AA837" s="1161"/>
      <c r="AB837" s="1162"/>
      <c r="AC837" s="729"/>
    </row>
    <row r="838" spans="1:29" ht="22.5" customHeight="1" thickTop="1" thickBot="1" x14ac:dyDescent="0.3">
      <c r="A838" s="425"/>
      <c r="B838" s="505"/>
      <c r="C838" s="505"/>
      <c r="D838" s="505"/>
      <c r="E838" s="505"/>
      <c r="F838" s="505"/>
      <c r="G838" s="505"/>
      <c r="H838" s="505"/>
      <c r="I838" s="505"/>
      <c r="J838" s="505"/>
      <c r="K838" s="609"/>
      <c r="L838" s="1161"/>
      <c r="M838" s="1161"/>
      <c r="N838" s="1161"/>
      <c r="O838" s="1161"/>
      <c r="P838" s="1161"/>
      <c r="Q838" s="1161"/>
      <c r="R838" s="1161"/>
      <c r="S838" s="1161"/>
      <c r="T838" s="1161"/>
      <c r="U838" s="1161"/>
      <c r="V838" s="1161"/>
      <c r="W838" s="1161"/>
      <c r="X838" s="1161"/>
      <c r="Y838" s="1161"/>
      <c r="Z838" s="1161"/>
      <c r="AA838" s="1161"/>
      <c r="AB838" s="1162"/>
      <c r="AC838" s="729"/>
    </row>
    <row r="839" spans="1:29" ht="22.5" customHeight="1" thickTop="1" thickBot="1" x14ac:dyDescent="0.3">
      <c r="A839" s="425"/>
      <c r="B839" s="505"/>
      <c r="C839" s="505"/>
      <c r="D839" s="505"/>
      <c r="E839" s="505"/>
      <c r="F839" s="505"/>
      <c r="G839" s="505"/>
      <c r="H839" s="505"/>
      <c r="I839" s="505"/>
      <c r="J839" s="505"/>
      <c r="K839" s="609"/>
      <c r="L839" s="1161"/>
      <c r="M839" s="1161"/>
      <c r="N839" s="1161"/>
      <c r="O839" s="1161"/>
      <c r="P839" s="1161"/>
      <c r="Q839" s="1161"/>
      <c r="R839" s="1161"/>
      <c r="S839" s="1161"/>
      <c r="T839" s="1161"/>
      <c r="U839" s="1161"/>
      <c r="V839" s="1161"/>
      <c r="W839" s="1161"/>
      <c r="X839" s="1161"/>
      <c r="Y839" s="1161"/>
      <c r="Z839" s="1161"/>
      <c r="AA839" s="1161"/>
      <c r="AB839" s="1162"/>
      <c r="AC839" s="729"/>
    </row>
    <row r="840" spans="1:29" ht="22.5" customHeight="1" thickTop="1" thickBot="1" x14ac:dyDescent="0.3">
      <c r="A840" s="425"/>
      <c r="B840" s="505"/>
      <c r="C840" s="505"/>
      <c r="D840" s="505"/>
      <c r="E840" s="505"/>
      <c r="F840" s="505"/>
      <c r="G840" s="505"/>
      <c r="H840" s="505"/>
      <c r="I840" s="505"/>
      <c r="J840" s="505"/>
      <c r="K840" s="609"/>
      <c r="L840" s="1161"/>
      <c r="M840" s="1161"/>
      <c r="N840" s="1161"/>
      <c r="O840" s="1161"/>
      <c r="P840" s="1161"/>
      <c r="Q840" s="1161"/>
      <c r="R840" s="1161"/>
      <c r="S840" s="1161"/>
      <c r="T840" s="1161"/>
      <c r="U840" s="1161"/>
      <c r="V840" s="1161"/>
      <c r="W840" s="1161"/>
      <c r="X840" s="1161"/>
      <c r="Y840" s="1161"/>
      <c r="Z840" s="1161"/>
      <c r="AA840" s="1161"/>
      <c r="AB840" s="1162"/>
      <c r="AC840" s="729"/>
    </row>
    <row r="841" spans="1:29" ht="22.5" customHeight="1" thickTop="1" thickBot="1" x14ac:dyDescent="0.3">
      <c r="A841" s="425"/>
      <c r="B841" s="505"/>
      <c r="C841" s="505"/>
      <c r="D841" s="505"/>
      <c r="E841" s="505"/>
      <c r="F841" s="505"/>
      <c r="G841" s="505"/>
      <c r="H841" s="505"/>
      <c r="I841" s="505"/>
      <c r="J841" s="505"/>
      <c r="K841" s="609"/>
      <c r="L841" s="1161"/>
      <c r="M841" s="1161"/>
      <c r="N841" s="1161"/>
      <c r="O841" s="1161"/>
      <c r="P841" s="1161"/>
      <c r="Q841" s="1161"/>
      <c r="R841" s="1161"/>
      <c r="S841" s="1161"/>
      <c r="T841" s="1161"/>
      <c r="U841" s="1161"/>
      <c r="V841" s="1161"/>
      <c r="W841" s="1161"/>
      <c r="X841" s="1161"/>
      <c r="Y841" s="1161"/>
      <c r="Z841" s="1161"/>
      <c r="AA841" s="1161"/>
      <c r="AB841" s="1162"/>
      <c r="AC841" s="729"/>
    </row>
    <row r="842" spans="1:29" ht="22.5" customHeight="1" thickTop="1" thickBot="1" x14ac:dyDescent="0.3">
      <c r="A842" s="425"/>
      <c r="B842" s="505"/>
      <c r="C842" s="505"/>
      <c r="D842" s="505"/>
      <c r="E842" s="505"/>
      <c r="F842" s="505"/>
      <c r="G842" s="505"/>
      <c r="H842" s="505"/>
      <c r="I842" s="505"/>
      <c r="J842" s="505"/>
      <c r="K842" s="609"/>
      <c r="L842" s="1161"/>
      <c r="M842" s="1161"/>
      <c r="N842" s="1161"/>
      <c r="O842" s="1161"/>
      <c r="P842" s="1161"/>
      <c r="Q842" s="1161"/>
      <c r="R842" s="1161"/>
      <c r="S842" s="1161"/>
      <c r="T842" s="1161"/>
      <c r="U842" s="1161"/>
      <c r="V842" s="1161"/>
      <c r="W842" s="1161"/>
      <c r="X842" s="1161"/>
      <c r="Y842" s="1161"/>
      <c r="Z842" s="1161"/>
      <c r="AA842" s="1161"/>
      <c r="AB842" s="1162"/>
      <c r="AC842" s="729"/>
    </row>
    <row r="843" spans="1:29" ht="22.5" customHeight="1" thickTop="1" thickBot="1" x14ac:dyDescent="0.3">
      <c r="A843" s="425"/>
      <c r="B843" s="505"/>
      <c r="C843" s="505"/>
      <c r="D843" s="505"/>
      <c r="E843" s="505"/>
      <c r="F843" s="505"/>
      <c r="G843" s="505"/>
      <c r="H843" s="505"/>
      <c r="I843" s="505"/>
      <c r="J843" s="505"/>
      <c r="K843" s="609"/>
      <c r="L843" s="1161"/>
      <c r="M843" s="1161"/>
      <c r="N843" s="1161"/>
      <c r="O843" s="1161"/>
      <c r="P843" s="1161"/>
      <c r="Q843" s="1161"/>
      <c r="R843" s="1161"/>
      <c r="S843" s="1161"/>
      <c r="T843" s="1161"/>
      <c r="U843" s="1161"/>
      <c r="V843" s="1161"/>
      <c r="W843" s="1161"/>
      <c r="X843" s="1161"/>
      <c r="Y843" s="1161"/>
      <c r="Z843" s="1161"/>
      <c r="AA843" s="1161"/>
      <c r="AB843" s="1162"/>
      <c r="AC843" s="729"/>
    </row>
    <row r="844" spans="1:29" ht="22.5" customHeight="1" thickTop="1" thickBot="1" x14ac:dyDescent="0.3">
      <c r="A844" s="425"/>
      <c r="B844" s="505"/>
      <c r="C844" s="505"/>
      <c r="D844" s="505"/>
      <c r="E844" s="505"/>
      <c r="F844" s="505"/>
      <c r="G844" s="505"/>
      <c r="H844" s="505"/>
      <c r="I844" s="505"/>
      <c r="J844" s="505"/>
      <c r="K844" s="609"/>
      <c r="L844" s="1161"/>
      <c r="M844" s="1161"/>
      <c r="N844" s="1161"/>
      <c r="O844" s="1161"/>
      <c r="P844" s="1161"/>
      <c r="Q844" s="1161"/>
      <c r="R844" s="1161"/>
      <c r="S844" s="1161"/>
      <c r="T844" s="1161"/>
      <c r="U844" s="1161"/>
      <c r="V844" s="1161"/>
      <c r="W844" s="1161"/>
      <c r="X844" s="1161"/>
      <c r="Y844" s="1161"/>
      <c r="Z844" s="1161"/>
      <c r="AA844" s="1161"/>
      <c r="AB844" s="1162"/>
      <c r="AC844" s="729"/>
    </row>
    <row r="845" spans="1:29" ht="22.5" customHeight="1" thickTop="1" thickBot="1" x14ac:dyDescent="0.3">
      <c r="A845" s="425"/>
      <c r="B845" s="505"/>
      <c r="C845" s="505"/>
      <c r="D845" s="505"/>
      <c r="E845" s="505"/>
      <c r="F845" s="505"/>
      <c r="G845" s="505"/>
      <c r="H845" s="505"/>
      <c r="I845" s="505"/>
      <c r="J845" s="505"/>
      <c r="K845" s="609"/>
      <c r="L845" s="1161"/>
      <c r="M845" s="1161"/>
      <c r="N845" s="1161"/>
      <c r="O845" s="1161"/>
      <c r="P845" s="1161"/>
      <c r="Q845" s="1161"/>
      <c r="R845" s="1161"/>
      <c r="S845" s="1161"/>
      <c r="T845" s="1161"/>
      <c r="U845" s="1161"/>
      <c r="V845" s="1161"/>
      <c r="W845" s="1161"/>
      <c r="X845" s="1161"/>
      <c r="Y845" s="1161"/>
      <c r="Z845" s="1161"/>
      <c r="AA845" s="1161"/>
      <c r="AB845" s="1162"/>
      <c r="AC845" s="729"/>
    </row>
    <row r="846" spans="1:29" ht="22.5" customHeight="1" thickTop="1" thickBot="1" x14ac:dyDescent="0.3">
      <c r="A846" s="425"/>
      <c r="B846" s="505"/>
      <c r="C846" s="505"/>
      <c r="D846" s="505"/>
      <c r="E846" s="505"/>
      <c r="F846" s="505"/>
      <c r="G846" s="505"/>
      <c r="H846" s="505"/>
      <c r="I846" s="505"/>
      <c r="J846" s="505"/>
      <c r="K846" s="609"/>
      <c r="L846" s="1161"/>
      <c r="M846" s="1161"/>
      <c r="N846" s="1161"/>
      <c r="O846" s="1161"/>
      <c r="P846" s="1161"/>
      <c r="Q846" s="1161"/>
      <c r="R846" s="1161"/>
      <c r="S846" s="1161"/>
      <c r="T846" s="1161"/>
      <c r="U846" s="1161"/>
      <c r="V846" s="1161"/>
      <c r="W846" s="1161"/>
      <c r="X846" s="1161"/>
      <c r="Y846" s="1161"/>
      <c r="Z846" s="1161"/>
      <c r="AA846" s="1161"/>
      <c r="AB846" s="1162"/>
      <c r="AC846" s="729"/>
    </row>
    <row r="847" spans="1:29" ht="22.5" customHeight="1" thickTop="1" thickBot="1" x14ac:dyDescent="0.3">
      <c r="A847" s="425"/>
      <c r="B847" s="505"/>
      <c r="C847" s="505"/>
      <c r="D847" s="505"/>
      <c r="E847" s="505"/>
      <c r="F847" s="505"/>
      <c r="G847" s="505"/>
      <c r="H847" s="505"/>
      <c r="I847" s="505"/>
      <c r="J847" s="505"/>
      <c r="K847" s="609"/>
      <c r="L847" s="1161"/>
      <c r="M847" s="1161"/>
      <c r="N847" s="1161"/>
      <c r="O847" s="1161"/>
      <c r="P847" s="1161"/>
      <c r="Q847" s="1161"/>
      <c r="R847" s="1161"/>
      <c r="S847" s="1161"/>
      <c r="T847" s="1161"/>
      <c r="U847" s="1161"/>
      <c r="V847" s="1161"/>
      <c r="W847" s="1161"/>
      <c r="X847" s="1161"/>
      <c r="Y847" s="1161"/>
      <c r="Z847" s="1161"/>
      <c r="AA847" s="1161"/>
      <c r="AB847" s="1162"/>
      <c r="AC847" s="729"/>
    </row>
    <row r="848" spans="1:29" ht="22.5" customHeight="1" thickTop="1" thickBot="1" x14ac:dyDescent="0.3">
      <c r="A848" s="425"/>
      <c r="B848" s="505"/>
      <c r="C848" s="505"/>
      <c r="D848" s="505"/>
      <c r="E848" s="505"/>
      <c r="F848" s="505"/>
      <c r="G848" s="505"/>
      <c r="H848" s="505"/>
      <c r="I848" s="505"/>
      <c r="J848" s="505"/>
      <c r="K848" s="609"/>
      <c r="L848" s="1161"/>
      <c r="M848" s="1161"/>
      <c r="N848" s="1161"/>
      <c r="O848" s="1161"/>
      <c r="P848" s="1161"/>
      <c r="Q848" s="1161"/>
      <c r="R848" s="1161"/>
      <c r="S848" s="1161"/>
      <c r="T848" s="1161"/>
      <c r="U848" s="1161"/>
      <c r="V848" s="1161"/>
      <c r="W848" s="1161"/>
      <c r="X848" s="1161"/>
      <c r="Y848" s="1161"/>
      <c r="Z848" s="1161"/>
      <c r="AA848" s="1161"/>
      <c r="AB848" s="1162"/>
      <c r="AC848" s="729"/>
    </row>
    <row r="849" spans="1:29" ht="22.5" customHeight="1" thickTop="1" thickBot="1" x14ac:dyDescent="0.3">
      <c r="A849" s="425"/>
      <c r="B849" s="505"/>
      <c r="C849" s="505"/>
      <c r="D849" s="505"/>
      <c r="E849" s="505"/>
      <c r="F849" s="505"/>
      <c r="G849" s="505"/>
      <c r="H849" s="505"/>
      <c r="I849" s="505"/>
      <c r="J849" s="505"/>
      <c r="K849" s="609"/>
      <c r="L849" s="1161"/>
      <c r="M849" s="1161"/>
      <c r="N849" s="1161"/>
      <c r="O849" s="1161"/>
      <c r="P849" s="1161"/>
      <c r="Q849" s="1161"/>
      <c r="R849" s="1161"/>
      <c r="S849" s="1161"/>
      <c r="T849" s="1161"/>
      <c r="U849" s="1161"/>
      <c r="V849" s="1161"/>
      <c r="W849" s="1161"/>
      <c r="X849" s="1161"/>
      <c r="Y849" s="1161"/>
      <c r="Z849" s="1161"/>
      <c r="AA849" s="1161"/>
      <c r="AB849" s="1162"/>
      <c r="AC849" s="729"/>
    </row>
    <row r="850" spans="1:29" ht="22.5" customHeight="1" thickTop="1" thickBot="1" x14ac:dyDescent="0.3">
      <c r="A850" s="425"/>
      <c r="B850" s="505"/>
      <c r="C850" s="505"/>
      <c r="D850" s="505"/>
      <c r="E850" s="505"/>
      <c r="F850" s="505"/>
      <c r="G850" s="505"/>
      <c r="H850" s="505"/>
      <c r="I850" s="505"/>
      <c r="J850" s="505"/>
      <c r="K850" s="609"/>
      <c r="L850" s="1161"/>
      <c r="M850" s="1161"/>
      <c r="N850" s="1161"/>
      <c r="O850" s="1161"/>
      <c r="P850" s="1161"/>
      <c r="Q850" s="1161"/>
      <c r="R850" s="1161"/>
      <c r="S850" s="1161"/>
      <c r="T850" s="1161"/>
      <c r="U850" s="1161"/>
      <c r="V850" s="1161"/>
      <c r="W850" s="1161"/>
      <c r="X850" s="1161"/>
      <c r="Y850" s="1161"/>
      <c r="Z850" s="1161"/>
      <c r="AA850" s="1161"/>
      <c r="AB850" s="1162"/>
      <c r="AC850" s="729"/>
    </row>
    <row r="851" spans="1:29" ht="22.5" customHeight="1" thickTop="1" thickBot="1" x14ac:dyDescent="0.3">
      <c r="A851" s="425"/>
      <c r="B851" s="505"/>
      <c r="C851" s="505"/>
      <c r="D851" s="505"/>
      <c r="E851" s="505"/>
      <c r="F851" s="505"/>
      <c r="G851" s="505"/>
      <c r="H851" s="505"/>
      <c r="I851" s="505"/>
      <c r="J851" s="505"/>
      <c r="K851" s="609"/>
      <c r="L851" s="1161"/>
      <c r="M851" s="1161"/>
      <c r="N851" s="1161"/>
      <c r="O851" s="1161"/>
      <c r="P851" s="1161"/>
      <c r="Q851" s="1161"/>
      <c r="R851" s="1161"/>
      <c r="S851" s="1161"/>
      <c r="T851" s="1161"/>
      <c r="U851" s="1161"/>
      <c r="V851" s="1161"/>
      <c r="W851" s="1161"/>
      <c r="X851" s="1161"/>
      <c r="Y851" s="1161"/>
      <c r="Z851" s="1161"/>
      <c r="AA851" s="1161"/>
      <c r="AB851" s="1162"/>
      <c r="AC851" s="729"/>
    </row>
    <row r="852" spans="1:29" ht="22.5" customHeight="1" thickTop="1" thickBot="1" x14ac:dyDescent="0.3">
      <c r="A852" s="425"/>
      <c r="B852" s="505"/>
      <c r="C852" s="505"/>
      <c r="D852" s="505"/>
      <c r="E852" s="505"/>
      <c r="F852" s="505"/>
      <c r="G852" s="505"/>
      <c r="H852" s="505"/>
      <c r="I852" s="505"/>
      <c r="J852" s="505"/>
      <c r="K852" s="609"/>
      <c r="L852" s="1161"/>
      <c r="M852" s="1161"/>
      <c r="N852" s="1161"/>
      <c r="O852" s="1161"/>
      <c r="P852" s="1161"/>
      <c r="Q852" s="1161"/>
      <c r="R852" s="1161"/>
      <c r="S852" s="1161"/>
      <c r="T852" s="1161"/>
      <c r="U852" s="1161"/>
      <c r="V852" s="1161"/>
      <c r="W852" s="1161"/>
      <c r="X852" s="1161"/>
      <c r="Y852" s="1161"/>
      <c r="Z852" s="1161"/>
      <c r="AA852" s="1161"/>
      <c r="AB852" s="1162"/>
      <c r="AC852" s="729"/>
    </row>
    <row r="853" spans="1:29" ht="22.5" customHeight="1" thickTop="1" thickBot="1" x14ac:dyDescent="0.3">
      <c r="A853" s="425"/>
      <c r="B853" s="505"/>
      <c r="C853" s="505"/>
      <c r="D853" s="505"/>
      <c r="E853" s="505"/>
      <c r="F853" s="505"/>
      <c r="G853" s="505"/>
      <c r="H853" s="505"/>
      <c r="I853" s="505"/>
      <c r="J853" s="505"/>
      <c r="K853" s="609"/>
      <c r="L853" s="1161"/>
      <c r="M853" s="1161"/>
      <c r="N853" s="1161"/>
      <c r="O853" s="1161"/>
      <c r="P853" s="1161"/>
      <c r="Q853" s="1161"/>
      <c r="R853" s="1161"/>
      <c r="S853" s="1161"/>
      <c r="T853" s="1161"/>
      <c r="U853" s="1161"/>
      <c r="V853" s="1161"/>
      <c r="W853" s="1161"/>
      <c r="X853" s="1161"/>
      <c r="Y853" s="1161"/>
      <c r="Z853" s="1161"/>
      <c r="AA853" s="1161"/>
      <c r="AB853" s="1162"/>
      <c r="AC853" s="729"/>
    </row>
    <row r="854" spans="1:29" ht="22.5" customHeight="1" thickTop="1" thickBot="1" x14ac:dyDescent="0.3">
      <c r="A854" s="425"/>
      <c r="B854" s="505"/>
      <c r="C854" s="505"/>
      <c r="D854" s="505"/>
      <c r="E854" s="505"/>
      <c r="F854" s="505"/>
      <c r="G854" s="505"/>
      <c r="H854" s="505"/>
      <c r="I854" s="505"/>
      <c r="J854" s="505"/>
      <c r="K854" s="609"/>
      <c r="L854" s="1161"/>
      <c r="M854" s="1161"/>
      <c r="N854" s="1161"/>
      <c r="O854" s="1161"/>
      <c r="P854" s="1161"/>
      <c r="Q854" s="1161"/>
      <c r="R854" s="1161"/>
      <c r="S854" s="1161"/>
      <c r="T854" s="1161"/>
      <c r="U854" s="1161"/>
      <c r="V854" s="1161"/>
      <c r="W854" s="1161"/>
      <c r="X854" s="1161"/>
      <c r="Y854" s="1161"/>
      <c r="Z854" s="1161"/>
      <c r="AA854" s="1161"/>
      <c r="AB854" s="1162"/>
      <c r="AC854" s="729"/>
    </row>
    <row r="855" spans="1:29" ht="22.5" customHeight="1" thickTop="1" thickBot="1" x14ac:dyDescent="0.3">
      <c r="A855" s="425"/>
      <c r="B855" s="505"/>
      <c r="C855" s="505"/>
      <c r="D855" s="505"/>
      <c r="E855" s="505"/>
      <c r="F855" s="505"/>
      <c r="G855" s="505"/>
      <c r="H855" s="505"/>
      <c r="I855" s="505"/>
      <c r="J855" s="505"/>
      <c r="K855" s="609"/>
      <c r="L855" s="1161"/>
      <c r="M855" s="1161"/>
      <c r="N855" s="1161"/>
      <c r="O855" s="1161"/>
      <c r="P855" s="1161"/>
      <c r="Q855" s="1161"/>
      <c r="R855" s="1161"/>
      <c r="S855" s="1161"/>
      <c r="T855" s="1161"/>
      <c r="U855" s="1161"/>
      <c r="V855" s="1161"/>
      <c r="W855" s="1161"/>
      <c r="X855" s="1161"/>
      <c r="Y855" s="1161"/>
      <c r="Z855" s="1161"/>
      <c r="AA855" s="1161"/>
      <c r="AB855" s="1162"/>
      <c r="AC855" s="729"/>
    </row>
    <row r="856" spans="1:29" ht="22.5" customHeight="1" thickTop="1" thickBot="1" x14ac:dyDescent="0.3">
      <c r="A856" s="425"/>
      <c r="B856" s="505"/>
      <c r="C856" s="505"/>
      <c r="D856" s="505"/>
      <c r="E856" s="505"/>
      <c r="F856" s="505"/>
      <c r="G856" s="505"/>
      <c r="H856" s="505"/>
      <c r="I856" s="505"/>
      <c r="J856" s="505"/>
      <c r="K856" s="609"/>
      <c r="L856" s="1161"/>
      <c r="M856" s="1161"/>
      <c r="N856" s="1161"/>
      <c r="O856" s="1161"/>
      <c r="P856" s="1161"/>
      <c r="Q856" s="1161"/>
      <c r="R856" s="1161"/>
      <c r="S856" s="1161"/>
      <c r="T856" s="1161"/>
      <c r="U856" s="1161"/>
      <c r="V856" s="1161"/>
      <c r="W856" s="1161"/>
      <c r="X856" s="1161"/>
      <c r="Y856" s="1161"/>
      <c r="Z856" s="1161"/>
      <c r="AA856" s="1161"/>
      <c r="AB856" s="1162"/>
      <c r="AC856" s="729"/>
    </row>
    <row r="857" spans="1:29" ht="22.5" customHeight="1" thickTop="1" thickBot="1" x14ac:dyDescent="0.3">
      <c r="A857" s="425"/>
      <c r="B857" s="505"/>
      <c r="C857" s="505"/>
      <c r="D857" s="505"/>
      <c r="E857" s="505"/>
      <c r="F857" s="505"/>
      <c r="G857" s="505"/>
      <c r="H857" s="505"/>
      <c r="I857" s="505"/>
      <c r="J857" s="505"/>
      <c r="K857" s="609"/>
      <c r="L857" s="1161"/>
      <c r="M857" s="1161"/>
      <c r="N857" s="1161"/>
      <c r="O857" s="1161"/>
      <c r="P857" s="1161"/>
      <c r="Q857" s="1161"/>
      <c r="R857" s="1161"/>
      <c r="S857" s="1161"/>
      <c r="T857" s="1161"/>
      <c r="U857" s="1161"/>
      <c r="V857" s="1161"/>
      <c r="W857" s="1161"/>
      <c r="X857" s="1161"/>
      <c r="Y857" s="1161"/>
      <c r="Z857" s="1161"/>
      <c r="AA857" s="1161"/>
      <c r="AB857" s="1162"/>
      <c r="AC857" s="729"/>
    </row>
    <row r="858" spans="1:29" ht="22.5" customHeight="1" thickTop="1" thickBot="1" x14ac:dyDescent="0.3">
      <c r="A858" s="425"/>
      <c r="B858" s="505"/>
      <c r="C858" s="505"/>
      <c r="D858" s="505"/>
      <c r="E858" s="505"/>
      <c r="F858" s="505"/>
      <c r="G858" s="505"/>
      <c r="H858" s="505"/>
      <c r="I858" s="505"/>
      <c r="J858" s="505"/>
      <c r="K858" s="609"/>
      <c r="L858" s="1161"/>
      <c r="M858" s="1161"/>
      <c r="N858" s="1161"/>
      <c r="O858" s="1161"/>
      <c r="P858" s="1161"/>
      <c r="Q858" s="1161"/>
      <c r="R858" s="1161"/>
      <c r="S858" s="1161"/>
      <c r="T858" s="1161"/>
      <c r="U858" s="1161"/>
      <c r="V858" s="1161"/>
      <c r="W858" s="1161"/>
      <c r="X858" s="1161"/>
      <c r="Y858" s="1161"/>
      <c r="Z858" s="1161"/>
      <c r="AA858" s="1161"/>
      <c r="AB858" s="1162"/>
      <c r="AC858" s="729"/>
    </row>
    <row r="859" spans="1:29" ht="22.5" customHeight="1" thickTop="1" thickBot="1" x14ac:dyDescent="0.3">
      <c r="A859" s="425"/>
      <c r="B859" s="505"/>
      <c r="C859" s="505"/>
      <c r="D859" s="505"/>
      <c r="E859" s="505"/>
      <c r="F859" s="505"/>
      <c r="G859" s="505"/>
      <c r="H859" s="505"/>
      <c r="I859" s="505"/>
      <c r="J859" s="505"/>
      <c r="K859" s="609"/>
      <c r="L859" s="1161"/>
      <c r="M859" s="1161"/>
      <c r="N859" s="1161"/>
      <c r="O859" s="1161"/>
      <c r="P859" s="1161"/>
      <c r="Q859" s="1161"/>
      <c r="R859" s="1161"/>
      <c r="S859" s="1161"/>
      <c r="T859" s="1161"/>
      <c r="U859" s="1161"/>
      <c r="V859" s="1161"/>
      <c r="W859" s="1161"/>
      <c r="X859" s="1161"/>
      <c r="Y859" s="1161"/>
      <c r="Z859" s="1161"/>
      <c r="AA859" s="1161"/>
      <c r="AB859" s="1162"/>
      <c r="AC859" s="729"/>
    </row>
    <row r="860" spans="1:29" ht="22.5" customHeight="1" thickTop="1" thickBot="1" x14ac:dyDescent="0.3">
      <c r="A860" s="425"/>
      <c r="B860" s="505"/>
      <c r="C860" s="505"/>
      <c r="D860" s="505"/>
      <c r="E860" s="505"/>
      <c r="F860" s="505"/>
      <c r="G860" s="505"/>
      <c r="H860" s="505"/>
      <c r="I860" s="505"/>
      <c r="J860" s="505"/>
      <c r="K860" s="609"/>
      <c r="L860" s="1161"/>
      <c r="M860" s="1161"/>
      <c r="N860" s="1161"/>
      <c r="O860" s="1161"/>
      <c r="P860" s="1161"/>
      <c r="Q860" s="1161"/>
      <c r="R860" s="1161"/>
      <c r="S860" s="1161"/>
      <c r="T860" s="1161"/>
      <c r="U860" s="1161"/>
      <c r="V860" s="1161"/>
      <c r="W860" s="1161"/>
      <c r="X860" s="1161"/>
      <c r="Y860" s="1161"/>
      <c r="Z860" s="1161"/>
      <c r="AA860" s="1161"/>
      <c r="AB860" s="1162"/>
      <c r="AC860" s="729"/>
    </row>
    <row r="861" spans="1:29" ht="22.5" customHeight="1" thickTop="1" thickBot="1" x14ac:dyDescent="0.3">
      <c r="A861" s="425"/>
      <c r="B861" s="505"/>
      <c r="C861" s="505"/>
      <c r="D861" s="505"/>
      <c r="E861" s="505"/>
      <c r="F861" s="505"/>
      <c r="G861" s="505"/>
      <c r="H861" s="505"/>
      <c r="I861" s="505"/>
      <c r="J861" s="505"/>
      <c r="K861" s="609"/>
      <c r="L861" s="1161"/>
      <c r="M861" s="1161"/>
      <c r="N861" s="1161"/>
      <c r="O861" s="1161"/>
      <c r="P861" s="1161"/>
      <c r="Q861" s="1161"/>
      <c r="R861" s="1161"/>
      <c r="S861" s="1161"/>
      <c r="T861" s="1161"/>
      <c r="U861" s="1161"/>
      <c r="V861" s="1161"/>
      <c r="W861" s="1161"/>
      <c r="X861" s="1161"/>
      <c r="Y861" s="1161"/>
      <c r="Z861" s="1161"/>
      <c r="AA861" s="1161"/>
      <c r="AB861" s="1162"/>
      <c r="AC861" s="729"/>
    </row>
    <row r="862" spans="1:29" ht="22.5" customHeight="1" thickTop="1" thickBot="1" x14ac:dyDescent="0.3">
      <c r="A862" s="425"/>
      <c r="B862" s="505"/>
      <c r="C862" s="505"/>
      <c r="D862" s="505"/>
      <c r="E862" s="505"/>
      <c r="F862" s="505"/>
      <c r="G862" s="505"/>
      <c r="H862" s="505"/>
      <c r="I862" s="505"/>
      <c r="J862" s="505"/>
      <c r="K862" s="609"/>
      <c r="L862" s="1161"/>
      <c r="M862" s="1161"/>
      <c r="N862" s="1161"/>
      <c r="O862" s="1161"/>
      <c r="P862" s="1161"/>
      <c r="Q862" s="1161"/>
      <c r="R862" s="1161"/>
      <c r="S862" s="1161"/>
      <c r="T862" s="1161"/>
      <c r="U862" s="1161"/>
      <c r="V862" s="1161"/>
      <c r="W862" s="1161"/>
      <c r="X862" s="1161"/>
      <c r="Y862" s="1161"/>
      <c r="Z862" s="1161"/>
      <c r="AA862" s="1161"/>
      <c r="AB862" s="1162"/>
      <c r="AC862" s="729"/>
    </row>
    <row r="863" spans="1:29" ht="22.5" customHeight="1" thickTop="1" thickBot="1" x14ac:dyDescent="0.3">
      <c r="A863" s="425"/>
      <c r="B863" s="505"/>
      <c r="C863" s="505"/>
      <c r="D863" s="505"/>
      <c r="E863" s="505"/>
      <c r="F863" s="505"/>
      <c r="G863" s="505"/>
      <c r="H863" s="505"/>
      <c r="I863" s="505"/>
      <c r="J863" s="505"/>
      <c r="K863" s="609"/>
      <c r="L863" s="1161"/>
      <c r="M863" s="1161"/>
      <c r="N863" s="1161"/>
      <c r="O863" s="1161"/>
      <c r="P863" s="1161"/>
      <c r="Q863" s="1161"/>
      <c r="R863" s="1161"/>
      <c r="S863" s="1161"/>
      <c r="T863" s="1161"/>
      <c r="U863" s="1161"/>
      <c r="V863" s="1161"/>
      <c r="W863" s="1161"/>
      <c r="X863" s="1161"/>
      <c r="Y863" s="1161"/>
      <c r="Z863" s="1161"/>
      <c r="AA863" s="1161"/>
      <c r="AB863" s="1162"/>
      <c r="AC863" s="729"/>
    </row>
    <row r="864" spans="1:29" ht="22.5" customHeight="1" thickTop="1" thickBot="1" x14ac:dyDescent="0.3">
      <c r="A864" s="425"/>
      <c r="B864" s="505"/>
      <c r="C864" s="505"/>
      <c r="D864" s="505"/>
      <c r="E864" s="505"/>
      <c r="F864" s="505"/>
      <c r="G864" s="505"/>
      <c r="H864" s="505"/>
      <c r="I864" s="505"/>
      <c r="J864" s="505"/>
      <c r="K864" s="609"/>
      <c r="L864" s="1161"/>
      <c r="M864" s="1161"/>
      <c r="N864" s="1161"/>
      <c r="O864" s="1161"/>
      <c r="P864" s="1161"/>
      <c r="Q864" s="1161"/>
      <c r="R864" s="1161"/>
      <c r="S864" s="1161"/>
      <c r="T864" s="1161"/>
      <c r="U864" s="1161"/>
      <c r="V864" s="1161"/>
      <c r="W864" s="1161"/>
      <c r="X864" s="1161"/>
      <c r="Y864" s="1161"/>
      <c r="Z864" s="1161"/>
      <c r="AA864" s="1161"/>
      <c r="AB864" s="1162"/>
      <c r="AC864" s="729"/>
    </row>
    <row r="865" spans="1:29" ht="22.5" customHeight="1" thickTop="1" thickBot="1" x14ac:dyDescent="0.3">
      <c r="A865" s="425"/>
      <c r="B865" s="505"/>
      <c r="C865" s="505"/>
      <c r="D865" s="505"/>
      <c r="E865" s="505"/>
      <c r="F865" s="505"/>
      <c r="G865" s="505"/>
      <c r="H865" s="505"/>
      <c r="I865" s="505"/>
      <c r="J865" s="505"/>
      <c r="K865" s="609"/>
      <c r="L865" s="1161"/>
      <c r="M865" s="1161"/>
      <c r="N865" s="1161"/>
      <c r="O865" s="1161"/>
      <c r="P865" s="1161"/>
      <c r="Q865" s="1161"/>
      <c r="R865" s="1161"/>
      <c r="S865" s="1161"/>
      <c r="T865" s="1161"/>
      <c r="U865" s="1161"/>
      <c r="V865" s="1161"/>
      <c r="W865" s="1161"/>
      <c r="X865" s="1161"/>
      <c r="Y865" s="1161"/>
      <c r="Z865" s="1161"/>
      <c r="AA865" s="1161"/>
      <c r="AB865" s="1162"/>
      <c r="AC865" s="729"/>
    </row>
    <row r="866" spans="1:29" ht="22.5" customHeight="1" thickTop="1" thickBot="1" x14ac:dyDescent="0.3">
      <c r="A866" s="425"/>
      <c r="B866" s="505"/>
      <c r="C866" s="505"/>
      <c r="D866" s="505"/>
      <c r="E866" s="505"/>
      <c r="F866" s="505"/>
      <c r="G866" s="505"/>
      <c r="H866" s="505"/>
      <c r="I866" s="505"/>
      <c r="J866" s="505"/>
      <c r="K866" s="609"/>
      <c r="L866" s="1161"/>
      <c r="M866" s="1161"/>
      <c r="N866" s="1161"/>
      <c r="O866" s="1161"/>
      <c r="P866" s="1161"/>
      <c r="Q866" s="1161"/>
      <c r="R866" s="1161"/>
      <c r="S866" s="1161"/>
      <c r="T866" s="1161"/>
      <c r="U866" s="1161"/>
      <c r="V866" s="1161"/>
      <c r="W866" s="1161"/>
      <c r="X866" s="1161"/>
      <c r="Y866" s="1161"/>
      <c r="Z866" s="1161"/>
      <c r="AA866" s="1161"/>
      <c r="AB866" s="1162"/>
      <c r="AC866" s="729"/>
    </row>
    <row r="867" spans="1:29" ht="22.5" customHeight="1" thickTop="1" thickBot="1" x14ac:dyDescent="0.3">
      <c r="A867" s="425"/>
      <c r="B867" s="505"/>
      <c r="C867" s="505"/>
      <c r="D867" s="505"/>
      <c r="E867" s="505"/>
      <c r="F867" s="505"/>
      <c r="G867" s="505"/>
      <c r="H867" s="505"/>
      <c r="I867" s="505"/>
      <c r="J867" s="505"/>
      <c r="K867" s="609"/>
      <c r="L867" s="1161"/>
      <c r="M867" s="1161"/>
      <c r="N867" s="1161"/>
      <c r="O867" s="1161"/>
      <c r="P867" s="1161"/>
      <c r="Q867" s="1161"/>
      <c r="R867" s="1161"/>
      <c r="S867" s="1161"/>
      <c r="T867" s="1161"/>
      <c r="U867" s="1161"/>
      <c r="V867" s="1161"/>
      <c r="W867" s="1161"/>
      <c r="X867" s="1161"/>
      <c r="Y867" s="1161"/>
      <c r="Z867" s="1161"/>
      <c r="AA867" s="1161"/>
      <c r="AB867" s="1162"/>
      <c r="AC867" s="729"/>
    </row>
    <row r="868" spans="1:29" ht="22.5" customHeight="1" thickTop="1" thickBot="1" x14ac:dyDescent="0.3">
      <c r="A868" s="425"/>
      <c r="B868" s="505"/>
      <c r="C868" s="505"/>
      <c r="D868" s="505"/>
      <c r="E868" s="505"/>
      <c r="F868" s="505"/>
      <c r="G868" s="505"/>
      <c r="H868" s="505"/>
      <c r="I868" s="505"/>
      <c r="J868" s="505"/>
      <c r="K868" s="609"/>
      <c r="L868" s="1161"/>
      <c r="M868" s="1161"/>
      <c r="N868" s="1161"/>
      <c r="O868" s="1161"/>
      <c r="P868" s="1161"/>
      <c r="Q868" s="1161"/>
      <c r="R868" s="1161"/>
      <c r="S868" s="1161"/>
      <c r="T868" s="1161"/>
      <c r="U868" s="1161"/>
      <c r="V868" s="1161"/>
      <c r="W868" s="1161"/>
      <c r="X868" s="1161"/>
      <c r="Y868" s="1161"/>
      <c r="Z868" s="1161"/>
      <c r="AA868" s="1161"/>
      <c r="AB868" s="1162"/>
      <c r="AC868" s="729"/>
    </row>
    <row r="869" spans="1:29" ht="22.5" customHeight="1" thickTop="1" thickBot="1" x14ac:dyDescent="0.3">
      <c r="A869" s="425"/>
      <c r="B869" s="505"/>
      <c r="C869" s="505"/>
      <c r="D869" s="505"/>
      <c r="E869" s="505"/>
      <c r="F869" s="505"/>
      <c r="G869" s="505"/>
      <c r="H869" s="505"/>
      <c r="I869" s="505"/>
      <c r="J869" s="505"/>
      <c r="K869" s="609"/>
      <c r="L869" s="1161"/>
      <c r="M869" s="1161"/>
      <c r="N869" s="1161"/>
      <c r="O869" s="1161"/>
      <c r="P869" s="1161"/>
      <c r="Q869" s="1161"/>
      <c r="R869" s="1161"/>
      <c r="S869" s="1161"/>
      <c r="T869" s="1161"/>
      <c r="U869" s="1161"/>
      <c r="V869" s="1161"/>
      <c r="W869" s="1161"/>
      <c r="X869" s="1161"/>
      <c r="Y869" s="1161"/>
      <c r="Z869" s="1161"/>
      <c r="AA869" s="1161"/>
      <c r="AB869" s="1162"/>
      <c r="AC869" s="729"/>
    </row>
    <row r="870" spans="1:29" ht="22.5" customHeight="1" thickTop="1" thickBot="1" x14ac:dyDescent="0.3">
      <c r="A870" s="425"/>
      <c r="B870" s="505"/>
      <c r="C870" s="505"/>
      <c r="D870" s="505"/>
      <c r="E870" s="505"/>
      <c r="F870" s="505"/>
      <c r="G870" s="505"/>
      <c r="H870" s="505"/>
      <c r="I870" s="505"/>
      <c r="J870" s="505"/>
      <c r="K870" s="609"/>
      <c r="L870" s="1161"/>
      <c r="M870" s="1161"/>
      <c r="N870" s="1161"/>
      <c r="O870" s="1161"/>
      <c r="P870" s="1161"/>
      <c r="Q870" s="1161"/>
      <c r="R870" s="1161"/>
      <c r="S870" s="1161"/>
      <c r="T870" s="1161"/>
      <c r="U870" s="1161"/>
      <c r="V870" s="1161"/>
      <c r="W870" s="1161"/>
      <c r="X870" s="1161"/>
      <c r="Y870" s="1161"/>
      <c r="Z870" s="1161"/>
      <c r="AA870" s="1161"/>
      <c r="AB870" s="1162"/>
      <c r="AC870" s="729"/>
    </row>
    <row r="871" spans="1:29" ht="22.5" customHeight="1" thickTop="1" thickBot="1" x14ac:dyDescent="0.3">
      <c r="A871" s="425"/>
      <c r="B871" s="505"/>
      <c r="C871" s="505"/>
      <c r="D871" s="505"/>
      <c r="E871" s="505"/>
      <c r="F871" s="505"/>
      <c r="G871" s="505"/>
      <c r="H871" s="505"/>
      <c r="I871" s="505"/>
      <c r="J871" s="505"/>
      <c r="K871" s="609"/>
      <c r="L871" s="1161"/>
      <c r="M871" s="1161"/>
      <c r="N871" s="1161"/>
      <c r="O871" s="1161"/>
      <c r="P871" s="1161"/>
      <c r="Q871" s="1161"/>
      <c r="R871" s="1161"/>
      <c r="S871" s="1161"/>
      <c r="T871" s="1161"/>
      <c r="U871" s="1161"/>
      <c r="V871" s="1161"/>
      <c r="W871" s="1161"/>
      <c r="X871" s="1161"/>
      <c r="Y871" s="1161"/>
      <c r="Z871" s="1161"/>
      <c r="AA871" s="1161"/>
      <c r="AB871" s="1162"/>
      <c r="AC871" s="729"/>
    </row>
    <row r="872" spans="1:29" ht="22.5" customHeight="1" thickTop="1" thickBot="1" x14ac:dyDescent="0.3">
      <c r="A872" s="425"/>
      <c r="B872" s="505"/>
      <c r="C872" s="505"/>
      <c r="D872" s="505"/>
      <c r="E872" s="505"/>
      <c r="F872" s="505"/>
      <c r="G872" s="505"/>
      <c r="H872" s="505"/>
      <c r="I872" s="505"/>
      <c r="J872" s="505"/>
      <c r="K872" s="609"/>
      <c r="L872" s="1161"/>
      <c r="M872" s="1161"/>
      <c r="N872" s="1161"/>
      <c r="O872" s="1161"/>
      <c r="P872" s="1161"/>
      <c r="Q872" s="1161"/>
      <c r="R872" s="1161"/>
      <c r="S872" s="1161"/>
      <c r="T872" s="1161"/>
      <c r="U872" s="1161"/>
      <c r="V872" s="1161"/>
      <c r="W872" s="1161"/>
      <c r="X872" s="1161"/>
      <c r="Y872" s="1161"/>
      <c r="Z872" s="1161"/>
      <c r="AA872" s="1161"/>
      <c r="AB872" s="1162"/>
      <c r="AC872" s="729"/>
    </row>
    <row r="873" spans="1:29" ht="22.5" customHeight="1" thickTop="1" thickBot="1" x14ac:dyDescent="0.3">
      <c r="A873" s="425"/>
      <c r="B873" s="505"/>
      <c r="C873" s="505"/>
      <c r="D873" s="505"/>
      <c r="E873" s="505"/>
      <c r="F873" s="505"/>
      <c r="G873" s="505"/>
      <c r="H873" s="505"/>
      <c r="I873" s="505"/>
      <c r="J873" s="505"/>
      <c r="K873" s="609"/>
      <c r="L873" s="1161"/>
      <c r="M873" s="1161"/>
      <c r="N873" s="1161"/>
      <c r="O873" s="1161"/>
      <c r="P873" s="1161"/>
      <c r="Q873" s="1161"/>
      <c r="R873" s="1161"/>
      <c r="S873" s="1161"/>
      <c r="T873" s="1161"/>
      <c r="U873" s="1161"/>
      <c r="V873" s="1161"/>
      <c r="W873" s="1161"/>
      <c r="X873" s="1161"/>
      <c r="Y873" s="1161"/>
      <c r="Z873" s="1161"/>
      <c r="AA873" s="1161"/>
      <c r="AB873" s="1162"/>
      <c r="AC873" s="729"/>
    </row>
    <row r="874" spans="1:29" ht="22.5" customHeight="1" thickTop="1" thickBot="1" x14ac:dyDescent="0.3">
      <c r="A874" s="425"/>
      <c r="B874" s="505"/>
      <c r="C874" s="505"/>
      <c r="D874" s="505"/>
      <c r="E874" s="505"/>
      <c r="F874" s="505"/>
      <c r="G874" s="505"/>
      <c r="H874" s="505"/>
      <c r="I874" s="505"/>
      <c r="J874" s="505"/>
      <c r="K874" s="609"/>
      <c r="L874" s="1161"/>
      <c r="M874" s="1161"/>
      <c r="N874" s="1161"/>
      <c r="O874" s="1161"/>
      <c r="P874" s="1161"/>
      <c r="Q874" s="1161"/>
      <c r="R874" s="1161"/>
      <c r="S874" s="1161"/>
      <c r="T874" s="1161"/>
      <c r="U874" s="1161"/>
      <c r="V874" s="1161"/>
      <c r="W874" s="1161"/>
      <c r="X874" s="1161"/>
      <c r="Y874" s="1161"/>
      <c r="Z874" s="1161"/>
      <c r="AA874" s="1161"/>
      <c r="AB874" s="1162"/>
      <c r="AC874" s="729"/>
    </row>
    <row r="875" spans="1:29" ht="22.5" customHeight="1" thickTop="1" thickBot="1" x14ac:dyDescent="0.3">
      <c r="A875" s="425"/>
      <c r="B875" s="505"/>
      <c r="C875" s="505"/>
      <c r="D875" s="505"/>
      <c r="E875" s="505"/>
      <c r="F875" s="505"/>
      <c r="G875" s="505"/>
      <c r="H875" s="505"/>
      <c r="I875" s="505"/>
      <c r="J875" s="505"/>
      <c r="K875" s="609"/>
      <c r="L875" s="1161"/>
      <c r="M875" s="1161"/>
      <c r="N875" s="1161"/>
      <c r="O875" s="1161"/>
      <c r="P875" s="1161"/>
      <c r="Q875" s="1161"/>
      <c r="R875" s="1161"/>
      <c r="S875" s="1161"/>
      <c r="T875" s="1161"/>
      <c r="U875" s="1161"/>
      <c r="V875" s="1161"/>
      <c r="W875" s="1161"/>
      <c r="X875" s="1161"/>
      <c r="Y875" s="1161"/>
      <c r="Z875" s="1161"/>
      <c r="AA875" s="1161"/>
      <c r="AB875" s="1162"/>
      <c r="AC875" s="729"/>
    </row>
    <row r="876" spans="1:29" ht="22.5" customHeight="1" thickTop="1" thickBot="1" x14ac:dyDescent="0.3">
      <c r="A876" s="425"/>
      <c r="B876" s="505"/>
      <c r="C876" s="505"/>
      <c r="D876" s="505"/>
      <c r="E876" s="505"/>
      <c r="F876" s="505"/>
      <c r="G876" s="505"/>
      <c r="H876" s="505"/>
      <c r="I876" s="505"/>
      <c r="J876" s="505"/>
      <c r="K876" s="609"/>
      <c r="L876" s="1161"/>
      <c r="M876" s="1161"/>
      <c r="N876" s="1161"/>
      <c r="O876" s="1161"/>
      <c r="P876" s="1161"/>
      <c r="Q876" s="1161"/>
      <c r="R876" s="1161"/>
      <c r="S876" s="1161"/>
      <c r="T876" s="1161"/>
      <c r="U876" s="1161"/>
      <c r="V876" s="1161"/>
      <c r="W876" s="1161"/>
      <c r="X876" s="1161"/>
      <c r="Y876" s="1161"/>
      <c r="Z876" s="1161"/>
      <c r="AA876" s="1161"/>
      <c r="AB876" s="1162"/>
      <c r="AC876" s="729"/>
    </row>
    <row r="877" spans="1:29" ht="22.5" customHeight="1" thickTop="1" thickBot="1" x14ac:dyDescent="0.3">
      <c r="A877" s="425"/>
      <c r="B877" s="505"/>
      <c r="C877" s="505"/>
      <c r="D877" s="505"/>
      <c r="E877" s="505"/>
      <c r="F877" s="505"/>
      <c r="G877" s="505"/>
      <c r="H877" s="505"/>
      <c r="I877" s="505"/>
      <c r="J877" s="505"/>
      <c r="K877" s="609"/>
      <c r="L877" s="1161"/>
      <c r="M877" s="1161"/>
      <c r="N877" s="1161"/>
      <c r="O877" s="1161"/>
      <c r="P877" s="1161"/>
      <c r="Q877" s="1161"/>
      <c r="R877" s="1161"/>
      <c r="S877" s="1161"/>
      <c r="T877" s="1161"/>
      <c r="U877" s="1161"/>
      <c r="V877" s="1161"/>
      <c r="W877" s="1161"/>
      <c r="X877" s="1161"/>
      <c r="Y877" s="1161"/>
      <c r="Z877" s="1161"/>
      <c r="AA877" s="1161"/>
      <c r="AB877" s="1162"/>
      <c r="AC877" s="729"/>
    </row>
    <row r="878" spans="1:29" ht="22.5" customHeight="1" thickTop="1" thickBot="1" x14ac:dyDescent="0.3">
      <c r="A878" s="425"/>
      <c r="B878" s="505"/>
      <c r="C878" s="505"/>
      <c r="D878" s="505"/>
      <c r="E878" s="505"/>
      <c r="F878" s="505"/>
      <c r="G878" s="505"/>
      <c r="H878" s="505"/>
      <c r="I878" s="505"/>
      <c r="J878" s="505"/>
      <c r="K878" s="609"/>
      <c r="L878" s="1161"/>
      <c r="M878" s="1161"/>
      <c r="N878" s="1161"/>
      <c r="O878" s="1161"/>
      <c r="P878" s="1161"/>
      <c r="Q878" s="1161"/>
      <c r="R878" s="1161"/>
      <c r="S878" s="1161"/>
      <c r="T878" s="1161"/>
      <c r="U878" s="1161"/>
      <c r="V878" s="1161"/>
      <c r="W878" s="1161"/>
      <c r="X878" s="1161"/>
      <c r="Y878" s="1161"/>
      <c r="Z878" s="1161"/>
      <c r="AA878" s="1161"/>
      <c r="AB878" s="1162"/>
      <c r="AC878" s="729"/>
    </row>
    <row r="879" spans="1:29" ht="22.5" customHeight="1" thickTop="1" thickBot="1" x14ac:dyDescent="0.3">
      <c r="A879" s="425"/>
      <c r="B879" s="505"/>
      <c r="C879" s="505"/>
      <c r="D879" s="505"/>
      <c r="E879" s="505"/>
      <c r="F879" s="505"/>
      <c r="G879" s="505"/>
      <c r="H879" s="505"/>
      <c r="I879" s="505"/>
      <c r="J879" s="505"/>
      <c r="K879" s="609"/>
      <c r="L879" s="1161"/>
      <c r="M879" s="1161"/>
      <c r="N879" s="1161"/>
      <c r="O879" s="1161"/>
      <c r="P879" s="1161"/>
      <c r="Q879" s="1161"/>
      <c r="R879" s="1161"/>
      <c r="S879" s="1161"/>
      <c r="T879" s="1161"/>
      <c r="U879" s="1161"/>
      <c r="V879" s="1161"/>
      <c r="W879" s="1161"/>
      <c r="X879" s="1161"/>
      <c r="Y879" s="1161"/>
      <c r="Z879" s="1161"/>
      <c r="AA879" s="1161"/>
      <c r="AB879" s="1162"/>
      <c r="AC879" s="729"/>
    </row>
    <row r="880" spans="1:29" ht="22.5" customHeight="1" thickTop="1" thickBot="1" x14ac:dyDescent="0.3">
      <c r="A880" s="425"/>
      <c r="B880" s="505"/>
      <c r="C880" s="505"/>
      <c r="D880" s="505"/>
      <c r="E880" s="505"/>
      <c r="F880" s="505"/>
      <c r="G880" s="505"/>
      <c r="H880" s="505"/>
      <c r="I880" s="505"/>
      <c r="J880" s="505"/>
      <c r="K880" s="609"/>
      <c r="L880" s="1161"/>
      <c r="M880" s="1161"/>
      <c r="N880" s="1161"/>
      <c r="O880" s="1161"/>
      <c r="P880" s="1161"/>
      <c r="Q880" s="1161"/>
      <c r="R880" s="1161"/>
      <c r="S880" s="1161"/>
      <c r="T880" s="1161"/>
      <c r="U880" s="1161"/>
      <c r="V880" s="1161"/>
      <c r="W880" s="1161"/>
      <c r="X880" s="1161"/>
      <c r="Y880" s="1161"/>
      <c r="Z880" s="1161"/>
      <c r="AA880" s="1161"/>
      <c r="AB880" s="1162"/>
      <c r="AC880" s="729"/>
    </row>
    <row r="881" spans="1:29" ht="22.5" customHeight="1" thickTop="1" thickBot="1" x14ac:dyDescent="0.3">
      <c r="A881" s="425"/>
      <c r="B881" s="505"/>
      <c r="C881" s="505"/>
      <c r="D881" s="505"/>
      <c r="E881" s="505"/>
      <c r="F881" s="505"/>
      <c r="G881" s="505"/>
      <c r="H881" s="505"/>
      <c r="I881" s="505"/>
      <c r="J881" s="505"/>
      <c r="K881" s="609"/>
      <c r="L881" s="1161"/>
      <c r="M881" s="1161"/>
      <c r="N881" s="1161"/>
      <c r="O881" s="1161"/>
      <c r="P881" s="1161"/>
      <c r="Q881" s="1161"/>
      <c r="R881" s="1161"/>
      <c r="S881" s="1161"/>
      <c r="T881" s="1161"/>
      <c r="U881" s="1161"/>
      <c r="V881" s="1161"/>
      <c r="W881" s="1161"/>
      <c r="X881" s="1161"/>
      <c r="Y881" s="1161"/>
      <c r="Z881" s="1161"/>
      <c r="AA881" s="1161"/>
      <c r="AB881" s="1162"/>
      <c r="AC881" s="729"/>
    </row>
    <row r="882" spans="1:29" ht="22.5" customHeight="1" thickTop="1" thickBot="1" x14ac:dyDescent="0.3">
      <c r="A882" s="425"/>
      <c r="B882" s="505"/>
      <c r="C882" s="505"/>
      <c r="D882" s="505"/>
      <c r="E882" s="505"/>
      <c r="F882" s="505"/>
      <c r="G882" s="505"/>
      <c r="H882" s="505"/>
      <c r="I882" s="505"/>
      <c r="J882" s="505"/>
      <c r="K882" s="609"/>
      <c r="L882" s="1161"/>
      <c r="M882" s="1161"/>
      <c r="N882" s="1161"/>
      <c r="O882" s="1161"/>
      <c r="P882" s="1161"/>
      <c r="Q882" s="1161"/>
      <c r="R882" s="1161"/>
      <c r="S882" s="1161"/>
      <c r="T882" s="1161"/>
      <c r="U882" s="1161"/>
      <c r="V882" s="1161"/>
      <c r="W882" s="1161"/>
      <c r="X882" s="1161"/>
      <c r="Y882" s="1161"/>
      <c r="Z882" s="1161"/>
      <c r="AA882" s="1161"/>
      <c r="AB882" s="1162"/>
      <c r="AC882" s="729"/>
    </row>
    <row r="883" spans="1:29" ht="22.5" customHeight="1" thickTop="1" thickBot="1" x14ac:dyDescent="0.3">
      <c r="A883" s="425"/>
      <c r="B883" s="505"/>
      <c r="C883" s="505"/>
      <c r="D883" s="505"/>
      <c r="E883" s="505"/>
      <c r="F883" s="505"/>
      <c r="G883" s="505"/>
      <c r="H883" s="505"/>
      <c r="I883" s="505"/>
      <c r="J883" s="505"/>
      <c r="K883" s="609"/>
      <c r="L883" s="1161"/>
      <c r="M883" s="1161"/>
      <c r="N883" s="1161"/>
      <c r="O883" s="1161"/>
      <c r="P883" s="1161"/>
      <c r="Q883" s="1161"/>
      <c r="R883" s="1161"/>
      <c r="S883" s="1161"/>
      <c r="T883" s="1161"/>
      <c r="U883" s="1161"/>
      <c r="V883" s="1161"/>
      <c r="W883" s="1161"/>
      <c r="X883" s="1161"/>
      <c r="Y883" s="1161"/>
      <c r="Z883" s="1161"/>
      <c r="AA883" s="1161"/>
      <c r="AB883" s="1162"/>
      <c r="AC883" s="729"/>
    </row>
    <row r="884" spans="1:29" ht="22.5" customHeight="1" thickTop="1" thickBot="1" x14ac:dyDescent="0.3">
      <c r="A884" s="425"/>
      <c r="B884" s="505"/>
      <c r="C884" s="505"/>
      <c r="D884" s="505"/>
      <c r="E884" s="505"/>
      <c r="F884" s="505"/>
      <c r="G884" s="505"/>
      <c r="H884" s="505"/>
      <c r="I884" s="505"/>
      <c r="J884" s="505"/>
      <c r="K884" s="609"/>
      <c r="L884" s="1161"/>
      <c r="M884" s="1161"/>
      <c r="N884" s="1161"/>
      <c r="O884" s="1161"/>
      <c r="P884" s="1161"/>
      <c r="Q884" s="1161"/>
      <c r="R884" s="1161"/>
      <c r="S884" s="1161"/>
      <c r="T884" s="1161"/>
      <c r="U884" s="1161"/>
      <c r="V884" s="1161"/>
      <c r="W884" s="1161"/>
      <c r="X884" s="1161"/>
      <c r="Y884" s="1161"/>
      <c r="Z884" s="1161"/>
      <c r="AA884" s="1161"/>
      <c r="AB884" s="1162"/>
      <c r="AC884" s="729"/>
    </row>
    <row r="885" spans="1:29" ht="22.5" customHeight="1" thickTop="1" thickBot="1" x14ac:dyDescent="0.3">
      <c r="A885" s="425"/>
      <c r="B885" s="505"/>
      <c r="C885" s="505"/>
      <c r="D885" s="505"/>
      <c r="E885" s="505"/>
      <c r="F885" s="505"/>
      <c r="G885" s="505"/>
      <c r="H885" s="505"/>
      <c r="I885" s="505"/>
      <c r="J885" s="505"/>
      <c r="K885" s="609"/>
      <c r="L885" s="1161"/>
      <c r="M885" s="1161"/>
      <c r="N885" s="1161"/>
      <c r="O885" s="1161"/>
      <c r="P885" s="1161"/>
      <c r="Q885" s="1161"/>
      <c r="R885" s="1161"/>
      <c r="S885" s="1161"/>
      <c r="T885" s="1161"/>
      <c r="U885" s="1161"/>
      <c r="V885" s="1161"/>
      <c r="W885" s="1161"/>
      <c r="X885" s="1161"/>
      <c r="Y885" s="1161"/>
      <c r="Z885" s="1161"/>
      <c r="AA885" s="1161"/>
      <c r="AB885" s="1162"/>
      <c r="AC885" s="729"/>
    </row>
    <row r="886" spans="1:29" ht="22.5" customHeight="1" thickTop="1" thickBot="1" x14ac:dyDescent="0.3">
      <c r="A886" s="425"/>
      <c r="B886" s="505"/>
      <c r="C886" s="505"/>
      <c r="D886" s="505"/>
      <c r="E886" s="505"/>
      <c r="F886" s="505"/>
      <c r="G886" s="505"/>
      <c r="H886" s="505"/>
      <c r="I886" s="505"/>
      <c r="J886" s="505"/>
      <c r="K886" s="609"/>
      <c r="L886" s="1161"/>
      <c r="M886" s="1161"/>
      <c r="N886" s="1161"/>
      <c r="O886" s="1161"/>
      <c r="P886" s="1161"/>
      <c r="Q886" s="1161"/>
      <c r="R886" s="1161"/>
      <c r="S886" s="1161"/>
      <c r="T886" s="1161"/>
      <c r="U886" s="1161"/>
      <c r="V886" s="1161"/>
      <c r="W886" s="1161"/>
      <c r="X886" s="1161"/>
      <c r="Y886" s="1161"/>
      <c r="Z886" s="1161"/>
      <c r="AA886" s="1161"/>
      <c r="AB886" s="1162"/>
      <c r="AC886" s="729"/>
    </row>
    <row r="887" spans="1:29" ht="22.5" customHeight="1" thickTop="1" thickBot="1" x14ac:dyDescent="0.3">
      <c r="A887" s="425"/>
      <c r="B887" s="505"/>
      <c r="C887" s="505"/>
      <c r="D887" s="505"/>
      <c r="E887" s="505"/>
      <c r="F887" s="505"/>
      <c r="G887" s="505"/>
      <c r="H887" s="505"/>
      <c r="I887" s="505"/>
      <c r="J887" s="505"/>
      <c r="K887" s="609"/>
      <c r="L887" s="1161"/>
      <c r="M887" s="1161"/>
      <c r="N887" s="1161"/>
      <c r="O887" s="1161"/>
      <c r="P887" s="1161"/>
      <c r="Q887" s="1161"/>
      <c r="R887" s="1161"/>
      <c r="S887" s="1161"/>
      <c r="T887" s="1161"/>
      <c r="U887" s="1161"/>
      <c r="V887" s="1161"/>
      <c r="W887" s="1161"/>
      <c r="X887" s="1161"/>
      <c r="Y887" s="1161"/>
      <c r="Z887" s="1161"/>
      <c r="AA887" s="1161"/>
      <c r="AB887" s="1162"/>
      <c r="AC887" s="729"/>
    </row>
    <row r="888" spans="1:29" ht="22.5" customHeight="1" thickTop="1" thickBot="1" x14ac:dyDescent="0.3">
      <c r="A888" s="425"/>
      <c r="B888" s="505"/>
      <c r="C888" s="505"/>
      <c r="D888" s="505"/>
      <c r="E888" s="505"/>
      <c r="F888" s="505"/>
      <c r="G888" s="505"/>
      <c r="H888" s="505"/>
      <c r="I888" s="505"/>
      <c r="J888" s="505"/>
      <c r="K888" s="609"/>
      <c r="L888" s="1161"/>
      <c r="M888" s="1161"/>
      <c r="N888" s="1161"/>
      <c r="O888" s="1161"/>
      <c r="P888" s="1161"/>
      <c r="Q888" s="1161"/>
      <c r="R888" s="1161"/>
      <c r="S888" s="1161"/>
      <c r="T888" s="1161"/>
      <c r="U888" s="1161"/>
      <c r="V888" s="1161"/>
      <c r="W888" s="1161"/>
      <c r="X888" s="1161"/>
      <c r="Y888" s="1161"/>
      <c r="Z888" s="1161"/>
      <c r="AA888" s="1161"/>
      <c r="AB888" s="1162"/>
      <c r="AC888" s="729"/>
    </row>
    <row r="889" spans="1:29" ht="22.5" customHeight="1" thickTop="1" thickBot="1" x14ac:dyDescent="0.3">
      <c r="A889" s="425"/>
      <c r="B889" s="505"/>
      <c r="C889" s="505"/>
      <c r="D889" s="505"/>
      <c r="E889" s="505"/>
      <c r="F889" s="505"/>
      <c r="G889" s="505"/>
      <c r="H889" s="505"/>
      <c r="I889" s="505"/>
      <c r="J889" s="505"/>
      <c r="K889" s="609"/>
      <c r="L889" s="1161"/>
      <c r="M889" s="1161"/>
      <c r="N889" s="1161"/>
      <c r="O889" s="1161"/>
      <c r="P889" s="1161"/>
      <c r="Q889" s="1161"/>
      <c r="R889" s="1161"/>
      <c r="S889" s="1161"/>
      <c r="T889" s="1161"/>
      <c r="U889" s="1161"/>
      <c r="V889" s="1161"/>
      <c r="W889" s="1161"/>
      <c r="X889" s="1161"/>
      <c r="Y889" s="1161"/>
      <c r="Z889" s="1161"/>
      <c r="AA889" s="1161"/>
      <c r="AB889" s="1162"/>
      <c r="AC889" s="729"/>
    </row>
    <row r="890" spans="1:29" ht="22.5" customHeight="1" thickTop="1" thickBot="1" x14ac:dyDescent="0.3">
      <c r="A890" s="425"/>
      <c r="B890" s="505"/>
      <c r="C890" s="505"/>
      <c r="D890" s="505"/>
      <c r="E890" s="505"/>
      <c r="F890" s="505"/>
      <c r="G890" s="505"/>
      <c r="H890" s="505"/>
      <c r="I890" s="505"/>
      <c r="J890" s="505"/>
      <c r="K890" s="609"/>
      <c r="L890" s="1161"/>
      <c r="M890" s="1161"/>
      <c r="N890" s="1161"/>
      <c r="O890" s="1161"/>
      <c r="P890" s="1161"/>
      <c r="Q890" s="1161"/>
      <c r="R890" s="1161"/>
      <c r="S890" s="1161"/>
      <c r="T890" s="1161"/>
      <c r="U890" s="1161"/>
      <c r="V890" s="1161"/>
      <c r="W890" s="1161"/>
      <c r="X890" s="1161"/>
      <c r="Y890" s="1161"/>
      <c r="Z890" s="1161"/>
      <c r="AA890" s="1161"/>
      <c r="AB890" s="1162"/>
      <c r="AC890" s="729"/>
    </row>
    <row r="891" spans="1:29" ht="22.5" customHeight="1" thickTop="1" thickBot="1" x14ac:dyDescent="0.3">
      <c r="A891" s="425"/>
      <c r="B891" s="505"/>
      <c r="C891" s="505"/>
      <c r="D891" s="505"/>
      <c r="E891" s="505"/>
      <c r="F891" s="505"/>
      <c r="G891" s="505"/>
      <c r="H891" s="505"/>
      <c r="I891" s="505"/>
      <c r="J891" s="505"/>
      <c r="K891" s="609"/>
      <c r="L891" s="1161"/>
      <c r="M891" s="1161"/>
      <c r="N891" s="1161"/>
      <c r="O891" s="1161"/>
      <c r="P891" s="1161"/>
      <c r="Q891" s="1161"/>
      <c r="R891" s="1161"/>
      <c r="S891" s="1161"/>
      <c r="T891" s="1161"/>
      <c r="U891" s="1161"/>
      <c r="V891" s="1161"/>
      <c r="W891" s="1161"/>
      <c r="X891" s="1161"/>
      <c r="Y891" s="1161"/>
      <c r="Z891" s="1161"/>
      <c r="AA891" s="1161"/>
      <c r="AB891" s="1162"/>
      <c r="AC891" s="729"/>
    </row>
    <row r="892" spans="1:29" ht="22.5" customHeight="1" thickTop="1" thickBot="1" x14ac:dyDescent="0.3">
      <c r="A892" s="425"/>
      <c r="B892" s="505"/>
      <c r="C892" s="505"/>
      <c r="D892" s="505"/>
      <c r="E892" s="505"/>
      <c r="F892" s="505"/>
      <c r="G892" s="505"/>
      <c r="H892" s="505"/>
      <c r="I892" s="505"/>
      <c r="J892" s="505"/>
      <c r="K892" s="609"/>
      <c r="L892" s="1161"/>
      <c r="M892" s="1161"/>
      <c r="N892" s="1161"/>
      <c r="O892" s="1161"/>
      <c r="P892" s="1161"/>
      <c r="Q892" s="1161"/>
      <c r="R892" s="1161"/>
      <c r="S892" s="1161"/>
      <c r="T892" s="1161"/>
      <c r="U892" s="1161"/>
      <c r="V892" s="1161"/>
      <c r="W892" s="1161"/>
      <c r="X892" s="1161"/>
      <c r="Y892" s="1161"/>
      <c r="Z892" s="1161"/>
      <c r="AA892" s="1161"/>
      <c r="AB892" s="1162"/>
      <c r="AC892" s="729"/>
    </row>
    <row r="893" spans="1:29" ht="22.5" customHeight="1" thickTop="1" thickBot="1" x14ac:dyDescent="0.3">
      <c r="A893" s="425"/>
      <c r="B893" s="505"/>
      <c r="C893" s="505"/>
      <c r="D893" s="505"/>
      <c r="E893" s="505"/>
      <c r="F893" s="505"/>
      <c r="G893" s="505"/>
      <c r="H893" s="505"/>
      <c r="I893" s="505"/>
      <c r="J893" s="505"/>
      <c r="K893" s="609"/>
      <c r="L893" s="1161"/>
      <c r="M893" s="1161"/>
      <c r="N893" s="1161"/>
      <c r="O893" s="1161"/>
      <c r="P893" s="1161"/>
      <c r="Q893" s="1161"/>
      <c r="R893" s="1161"/>
      <c r="S893" s="1161"/>
      <c r="T893" s="1161"/>
      <c r="U893" s="1161"/>
      <c r="V893" s="1161"/>
      <c r="W893" s="1161"/>
      <c r="X893" s="1161"/>
      <c r="Y893" s="1161"/>
      <c r="Z893" s="1161"/>
      <c r="AA893" s="1161"/>
      <c r="AB893" s="1162"/>
      <c r="AC893" s="729"/>
    </row>
    <row r="894" spans="1:29" ht="22.5" customHeight="1" thickTop="1" thickBot="1" x14ac:dyDescent="0.3">
      <c r="A894" s="425"/>
      <c r="B894" s="505"/>
      <c r="C894" s="505"/>
      <c r="D894" s="505"/>
      <c r="E894" s="505"/>
      <c r="F894" s="505"/>
      <c r="G894" s="505"/>
      <c r="H894" s="505"/>
      <c r="I894" s="505"/>
      <c r="J894" s="505"/>
      <c r="K894" s="609"/>
      <c r="L894" s="1161"/>
      <c r="M894" s="1161"/>
      <c r="N894" s="1161"/>
      <c r="O894" s="1161"/>
      <c r="P894" s="1161"/>
      <c r="Q894" s="1161"/>
      <c r="R894" s="1161"/>
      <c r="S894" s="1161"/>
      <c r="T894" s="1161"/>
      <c r="U894" s="1161"/>
      <c r="V894" s="1161"/>
      <c r="W894" s="1161"/>
      <c r="X894" s="1161"/>
      <c r="Y894" s="1161"/>
      <c r="Z894" s="1161"/>
      <c r="AA894" s="1161"/>
      <c r="AB894" s="1162"/>
      <c r="AC894" s="729"/>
    </row>
    <row r="895" spans="1:29" ht="22.5" customHeight="1" thickTop="1" thickBot="1" x14ac:dyDescent="0.3">
      <c r="A895" s="425"/>
      <c r="B895" s="505"/>
      <c r="C895" s="505"/>
      <c r="D895" s="505"/>
      <c r="E895" s="505"/>
      <c r="F895" s="505"/>
      <c r="G895" s="505"/>
      <c r="H895" s="505"/>
      <c r="I895" s="505"/>
      <c r="J895" s="505"/>
      <c r="K895" s="609"/>
      <c r="L895" s="1161"/>
      <c r="M895" s="1161"/>
      <c r="N895" s="1161"/>
      <c r="O895" s="1161"/>
      <c r="P895" s="1161"/>
      <c r="Q895" s="1161"/>
      <c r="R895" s="1161"/>
      <c r="S895" s="1161"/>
      <c r="T895" s="1161"/>
      <c r="U895" s="1161"/>
      <c r="V895" s="1161"/>
      <c r="W895" s="1161"/>
      <c r="X895" s="1161"/>
      <c r="Y895" s="1161"/>
      <c r="Z895" s="1161"/>
      <c r="AA895" s="1161"/>
      <c r="AB895" s="1162"/>
      <c r="AC895" s="729"/>
    </row>
    <row r="896" spans="1:29" ht="22.5" customHeight="1" thickTop="1" thickBot="1" x14ac:dyDescent="0.3">
      <c r="A896" s="425"/>
      <c r="B896" s="505"/>
      <c r="C896" s="505"/>
      <c r="D896" s="505"/>
      <c r="E896" s="505"/>
      <c r="F896" s="505"/>
      <c r="G896" s="505"/>
      <c r="H896" s="505"/>
      <c r="I896" s="505"/>
      <c r="J896" s="505"/>
      <c r="K896" s="609"/>
      <c r="L896" s="1161"/>
      <c r="M896" s="1161"/>
      <c r="N896" s="1161"/>
      <c r="O896" s="1161"/>
      <c r="P896" s="1161"/>
      <c r="Q896" s="1161"/>
      <c r="R896" s="1161"/>
      <c r="S896" s="1161"/>
      <c r="T896" s="1161"/>
      <c r="U896" s="1161"/>
      <c r="V896" s="1161"/>
      <c r="W896" s="1161"/>
      <c r="X896" s="1161"/>
      <c r="Y896" s="1161"/>
      <c r="Z896" s="1161"/>
      <c r="AA896" s="1161"/>
      <c r="AB896" s="1162"/>
      <c r="AC896" s="729"/>
    </row>
    <row r="897" spans="1:29" ht="22.5" customHeight="1" thickTop="1" thickBot="1" x14ac:dyDescent="0.3">
      <c r="A897" s="425"/>
      <c r="B897" s="505"/>
      <c r="C897" s="505"/>
      <c r="D897" s="505"/>
      <c r="E897" s="505"/>
      <c r="F897" s="505"/>
      <c r="G897" s="505"/>
      <c r="H897" s="505"/>
      <c r="I897" s="505"/>
      <c r="J897" s="505"/>
      <c r="K897" s="609"/>
      <c r="L897" s="1161"/>
      <c r="M897" s="1161"/>
      <c r="N897" s="1161"/>
      <c r="O897" s="1161"/>
      <c r="P897" s="1161"/>
      <c r="Q897" s="1161"/>
      <c r="R897" s="1161"/>
      <c r="S897" s="1161"/>
      <c r="T897" s="1161"/>
      <c r="U897" s="1161"/>
      <c r="V897" s="1161"/>
      <c r="W897" s="1161"/>
      <c r="X897" s="1161"/>
      <c r="Y897" s="1161"/>
      <c r="Z897" s="1161"/>
      <c r="AA897" s="1161"/>
      <c r="AB897" s="1162"/>
      <c r="AC897" s="729"/>
    </row>
    <row r="898" spans="1:29" ht="22.5" customHeight="1" thickTop="1" thickBot="1" x14ac:dyDescent="0.3">
      <c r="A898" s="425"/>
      <c r="B898" s="505"/>
      <c r="C898" s="505"/>
      <c r="D898" s="505"/>
      <c r="E898" s="505"/>
      <c r="F898" s="505"/>
      <c r="G898" s="505"/>
      <c r="H898" s="505"/>
      <c r="I898" s="505"/>
      <c r="J898" s="505"/>
      <c r="K898" s="609"/>
      <c r="L898" s="1161"/>
      <c r="M898" s="1161"/>
      <c r="N898" s="1161"/>
      <c r="O898" s="1161"/>
      <c r="P898" s="1161"/>
      <c r="Q898" s="1161"/>
      <c r="R898" s="1161"/>
      <c r="S898" s="1161"/>
      <c r="T898" s="1161"/>
      <c r="U898" s="1161"/>
      <c r="V898" s="1161"/>
      <c r="W898" s="1161"/>
      <c r="X898" s="1161"/>
      <c r="Y898" s="1161"/>
      <c r="Z898" s="1161"/>
      <c r="AA898" s="1161"/>
      <c r="AB898" s="1162"/>
      <c r="AC898" s="729"/>
    </row>
    <row r="899" spans="1:29" ht="22.5" customHeight="1" thickTop="1" thickBot="1" x14ac:dyDescent="0.3">
      <c r="A899" s="425"/>
      <c r="B899" s="505"/>
      <c r="C899" s="505"/>
      <c r="D899" s="505"/>
      <c r="E899" s="505"/>
      <c r="F899" s="505"/>
      <c r="G899" s="505"/>
      <c r="H899" s="505"/>
      <c r="I899" s="505"/>
      <c r="J899" s="505"/>
      <c r="K899" s="1163"/>
      <c r="L899" s="1164"/>
      <c r="M899" s="1164"/>
      <c r="N899" s="1164"/>
      <c r="O899" s="1164"/>
      <c r="P899" s="1164"/>
      <c r="Q899" s="1164"/>
      <c r="R899" s="1164"/>
      <c r="S899" s="1164"/>
      <c r="T899" s="1164"/>
      <c r="U899" s="1164"/>
      <c r="V899" s="1164"/>
      <c r="W899" s="1164"/>
      <c r="X899" s="1164"/>
      <c r="Y899" s="1164"/>
      <c r="Z899" s="1164"/>
      <c r="AA899" s="1164"/>
      <c r="AB899" s="1165"/>
      <c r="AC899" s="729"/>
    </row>
    <row r="900" spans="1:29" ht="22.5" customHeight="1" thickTop="1" thickBot="1" x14ac:dyDescent="0.3">
      <c r="A900" s="425"/>
      <c r="B900" s="505"/>
      <c r="C900" s="505"/>
      <c r="D900" s="505"/>
      <c r="E900" s="505"/>
      <c r="F900" s="505"/>
      <c r="G900" s="505"/>
      <c r="H900" s="505"/>
      <c r="I900" s="505"/>
      <c r="J900" s="505"/>
      <c r="K900" s="609"/>
      <c r="L900" s="1166"/>
      <c r="M900" s="1166"/>
      <c r="N900" s="1166"/>
      <c r="O900" s="1166"/>
      <c r="P900" s="1166"/>
      <c r="Q900" s="1166"/>
      <c r="R900" s="1166"/>
      <c r="S900" s="1166"/>
      <c r="T900" s="1166"/>
      <c r="U900" s="1166"/>
      <c r="V900" s="1166"/>
      <c r="W900" s="1166"/>
      <c r="X900" s="1166"/>
      <c r="Y900" s="1166"/>
      <c r="Z900" s="1166"/>
      <c r="AA900" s="1166"/>
      <c r="AB900" s="1166"/>
      <c r="AC900" s="729"/>
    </row>
    <row r="901" spans="1:29" ht="22.5" customHeight="1" thickTop="1" thickBot="1" x14ac:dyDescent="0.3">
      <c r="A901" s="425"/>
      <c r="B901" s="505"/>
      <c r="C901" s="505"/>
      <c r="D901" s="505"/>
      <c r="E901" s="505"/>
      <c r="F901" s="505"/>
      <c r="G901" s="505"/>
      <c r="H901" s="505"/>
      <c r="I901" s="505"/>
      <c r="J901" s="505"/>
      <c r="K901" s="609"/>
      <c r="L901" s="1166"/>
      <c r="M901" s="1166"/>
      <c r="N901" s="1166"/>
      <c r="O901" s="1166"/>
      <c r="P901" s="1166"/>
      <c r="Q901" s="1166"/>
      <c r="R901" s="1166"/>
      <c r="S901" s="1166"/>
      <c r="T901" s="1166"/>
      <c r="U901" s="1166"/>
      <c r="V901" s="1166"/>
      <c r="W901" s="1166"/>
      <c r="X901" s="1166"/>
      <c r="Y901" s="1166"/>
      <c r="Z901" s="1166"/>
      <c r="AA901" s="1166"/>
      <c r="AB901" s="1166"/>
      <c r="AC901" s="729"/>
    </row>
    <row r="902" spans="1:29" ht="22.5" customHeight="1" thickTop="1" thickBot="1" x14ac:dyDescent="0.3">
      <c r="A902" s="425"/>
      <c r="B902" s="505"/>
      <c r="C902" s="505"/>
      <c r="D902" s="505"/>
      <c r="E902" s="505"/>
      <c r="F902" s="505"/>
      <c r="G902" s="505"/>
      <c r="H902" s="505"/>
      <c r="I902" s="505"/>
      <c r="J902" s="505"/>
      <c r="K902" s="609"/>
      <c r="L902" s="1166"/>
      <c r="M902" s="1166"/>
      <c r="N902" s="1166"/>
      <c r="O902" s="1166"/>
      <c r="P902" s="1166"/>
      <c r="Q902" s="1166"/>
      <c r="R902" s="1166"/>
      <c r="S902" s="1166"/>
      <c r="T902" s="1166"/>
      <c r="U902" s="1166"/>
      <c r="V902" s="1166"/>
      <c r="W902" s="1166"/>
      <c r="X902" s="1166"/>
      <c r="Y902" s="1166"/>
      <c r="Z902" s="1166"/>
      <c r="AA902" s="1166"/>
      <c r="AB902" s="1166"/>
      <c r="AC902" s="729"/>
    </row>
    <row r="903" spans="1:29" ht="22.5" customHeight="1" thickTop="1" thickBot="1" x14ac:dyDescent="0.3">
      <c r="A903" s="425"/>
      <c r="B903" s="505"/>
      <c r="C903" s="505"/>
      <c r="D903" s="505"/>
      <c r="E903" s="505"/>
      <c r="F903" s="505"/>
      <c r="G903" s="505"/>
      <c r="H903" s="505"/>
      <c r="I903" s="505"/>
      <c r="J903" s="505"/>
      <c r="K903" s="609"/>
      <c r="L903" s="1166"/>
      <c r="M903" s="1166"/>
      <c r="N903" s="1166"/>
      <c r="O903" s="1166"/>
      <c r="P903" s="1166"/>
      <c r="Q903" s="1166"/>
      <c r="R903" s="1166"/>
      <c r="S903" s="1166"/>
      <c r="T903" s="1166"/>
      <c r="U903" s="1166"/>
      <c r="V903" s="1166"/>
      <c r="W903" s="1166"/>
      <c r="X903" s="1166"/>
      <c r="Y903" s="1166"/>
      <c r="Z903" s="1166"/>
      <c r="AA903" s="1166"/>
      <c r="AB903" s="1166"/>
      <c r="AC903" s="729"/>
    </row>
    <row r="904" spans="1:29" ht="22.5" customHeight="1" thickTop="1" thickBot="1" x14ac:dyDescent="0.3">
      <c r="A904" s="425"/>
      <c r="B904" s="505"/>
      <c r="C904" s="505"/>
      <c r="D904" s="505"/>
      <c r="E904" s="505"/>
      <c r="F904" s="505"/>
      <c r="G904" s="505"/>
      <c r="H904" s="505"/>
      <c r="I904" s="505"/>
      <c r="J904" s="505"/>
      <c r="K904" s="609"/>
      <c r="L904" s="1166"/>
      <c r="M904" s="1166"/>
      <c r="N904" s="1166"/>
      <c r="O904" s="1166"/>
      <c r="P904" s="1166"/>
      <c r="Q904" s="1166"/>
      <c r="R904" s="1166"/>
      <c r="S904" s="1166"/>
      <c r="T904" s="1166"/>
      <c r="U904" s="1166"/>
      <c r="V904" s="1166"/>
      <c r="W904" s="1166"/>
      <c r="X904" s="1166"/>
      <c r="Y904" s="1166"/>
      <c r="Z904" s="1166"/>
      <c r="AA904" s="1166"/>
      <c r="AB904" s="1166"/>
      <c r="AC904" s="729"/>
    </row>
    <row r="905" spans="1:29" ht="22.5" customHeight="1" thickTop="1" thickBot="1" x14ac:dyDescent="0.3">
      <c r="A905" s="425"/>
      <c r="B905" s="505"/>
      <c r="C905" s="505"/>
      <c r="D905" s="505"/>
      <c r="E905" s="505"/>
      <c r="F905" s="505"/>
      <c r="G905" s="505"/>
      <c r="H905" s="505"/>
      <c r="I905" s="505"/>
      <c r="J905" s="505"/>
      <c r="K905" s="609"/>
      <c r="L905" s="1166"/>
      <c r="M905" s="1166"/>
      <c r="N905" s="1166"/>
      <c r="O905" s="1166"/>
      <c r="P905" s="1166"/>
      <c r="Q905" s="1166"/>
      <c r="R905" s="1166"/>
      <c r="S905" s="1166"/>
      <c r="T905" s="1166"/>
      <c r="U905" s="1166"/>
      <c r="V905" s="1166"/>
      <c r="W905" s="1166"/>
      <c r="X905" s="1166"/>
      <c r="Y905" s="1166"/>
      <c r="Z905" s="1166"/>
      <c r="AA905" s="1166"/>
      <c r="AB905" s="1166"/>
      <c r="AC905" s="729"/>
    </row>
    <row r="906" spans="1:29" ht="22.5" customHeight="1" thickTop="1" thickBot="1" x14ac:dyDescent="0.3">
      <c r="A906" s="425"/>
      <c r="B906" s="505"/>
      <c r="C906" s="505"/>
      <c r="D906" s="505"/>
      <c r="E906" s="505"/>
      <c r="F906" s="505"/>
      <c r="G906" s="505"/>
      <c r="H906" s="505"/>
      <c r="I906" s="505"/>
      <c r="J906" s="505"/>
      <c r="K906" s="609"/>
      <c r="L906" s="1166"/>
      <c r="M906" s="1166"/>
      <c r="N906" s="1166"/>
      <c r="O906" s="1166"/>
      <c r="P906" s="1166"/>
      <c r="Q906" s="1166"/>
      <c r="R906" s="1166"/>
      <c r="S906" s="1166"/>
      <c r="T906" s="1166"/>
      <c r="U906" s="1166"/>
      <c r="V906" s="1166"/>
      <c r="W906" s="1166"/>
      <c r="X906" s="1166"/>
      <c r="Y906" s="1166"/>
      <c r="Z906" s="1166"/>
      <c r="AA906" s="1166"/>
      <c r="AB906" s="1166"/>
      <c r="AC906" s="729"/>
    </row>
    <row r="907" spans="1:29" ht="22.5" customHeight="1" thickTop="1" thickBot="1" x14ac:dyDescent="0.3">
      <c r="A907" s="425"/>
      <c r="B907" s="505"/>
      <c r="C907" s="505"/>
      <c r="D907" s="505"/>
      <c r="E907" s="505"/>
      <c r="F907" s="505"/>
      <c r="G907" s="505"/>
      <c r="H907" s="505"/>
      <c r="I907" s="505"/>
      <c r="J907" s="505"/>
      <c r="K907" s="609"/>
      <c r="L907" s="1166"/>
      <c r="M907" s="1166"/>
      <c r="N907" s="1166"/>
      <c r="O907" s="1166"/>
      <c r="P907" s="1166"/>
      <c r="Q907" s="1166"/>
      <c r="R907" s="1166"/>
      <c r="S907" s="1166"/>
      <c r="T907" s="1166"/>
      <c r="U907" s="1166"/>
      <c r="V907" s="1166"/>
      <c r="W907" s="1166"/>
      <c r="X907" s="1166"/>
      <c r="Y907" s="1166"/>
      <c r="Z907" s="1166"/>
      <c r="AA907" s="1166"/>
      <c r="AB907" s="1166"/>
      <c r="AC907" s="729"/>
    </row>
    <row r="908" spans="1:29" ht="22.5" customHeight="1" thickTop="1" thickBot="1" x14ac:dyDescent="0.3">
      <c r="A908" s="425"/>
      <c r="B908" s="505"/>
      <c r="C908" s="505"/>
      <c r="D908" s="505"/>
      <c r="E908" s="505"/>
      <c r="F908" s="505"/>
      <c r="G908" s="505"/>
      <c r="H908" s="505"/>
      <c r="I908" s="505"/>
      <c r="J908" s="505"/>
      <c r="K908" s="609"/>
      <c r="L908" s="1166"/>
      <c r="M908" s="1166"/>
      <c r="N908" s="1166"/>
      <c r="O908" s="1166"/>
      <c r="P908" s="1166"/>
      <c r="Q908" s="1166"/>
      <c r="R908" s="1166"/>
      <c r="S908" s="1166"/>
      <c r="T908" s="1166"/>
      <c r="U908" s="1166"/>
      <c r="V908" s="1166"/>
      <c r="W908" s="1166"/>
      <c r="X908" s="1166"/>
      <c r="Y908" s="1166"/>
      <c r="Z908" s="1166"/>
      <c r="AA908" s="1166"/>
      <c r="AB908" s="1166"/>
      <c r="AC908" s="729"/>
    </row>
    <row r="909" spans="1:29" ht="22.5" customHeight="1" thickTop="1" thickBot="1" x14ac:dyDescent="0.3">
      <c r="A909" s="425"/>
      <c r="B909" s="505"/>
      <c r="C909" s="505"/>
      <c r="D909" s="505"/>
      <c r="E909" s="505"/>
      <c r="F909" s="505"/>
      <c r="G909" s="505"/>
      <c r="H909" s="505"/>
      <c r="I909" s="505"/>
      <c r="J909" s="505"/>
      <c r="K909" s="609"/>
      <c r="L909" s="1166"/>
      <c r="M909" s="1166"/>
      <c r="N909" s="1166"/>
      <c r="O909" s="1166"/>
      <c r="P909" s="1166"/>
      <c r="Q909" s="1166"/>
      <c r="R909" s="1166"/>
      <c r="S909" s="1166"/>
      <c r="T909" s="1166"/>
      <c r="U909" s="1166"/>
      <c r="V909" s="1166"/>
      <c r="W909" s="1166"/>
      <c r="X909" s="1166"/>
      <c r="Y909" s="1166"/>
      <c r="Z909" s="1166"/>
      <c r="AA909" s="1166"/>
      <c r="AB909" s="1166"/>
      <c r="AC909" s="729"/>
    </row>
    <row r="910" spans="1:29" ht="22.5" customHeight="1" thickTop="1" thickBot="1" x14ac:dyDescent="0.3">
      <c r="A910" s="425"/>
      <c r="B910" s="505"/>
      <c r="C910" s="505"/>
      <c r="D910" s="505"/>
      <c r="E910" s="505"/>
      <c r="F910" s="505"/>
      <c r="G910" s="505"/>
      <c r="H910" s="505"/>
      <c r="I910" s="505"/>
      <c r="J910" s="505"/>
      <c r="K910" s="609"/>
      <c r="L910" s="1166"/>
      <c r="M910" s="1166"/>
      <c r="N910" s="1166"/>
      <c r="O910" s="1166"/>
      <c r="P910" s="1166"/>
      <c r="Q910" s="1166"/>
      <c r="R910" s="1166"/>
      <c r="S910" s="1166"/>
      <c r="T910" s="1166"/>
      <c r="U910" s="1166"/>
      <c r="V910" s="1166"/>
      <c r="W910" s="1166"/>
      <c r="X910" s="1166"/>
      <c r="Y910" s="1166"/>
      <c r="Z910" s="1166"/>
      <c r="AA910" s="1166"/>
      <c r="AB910" s="1166"/>
      <c r="AC910" s="729"/>
    </row>
    <row r="911" spans="1:29" ht="22.5" customHeight="1" thickTop="1" thickBot="1" x14ac:dyDescent="0.3">
      <c r="A911" s="425"/>
      <c r="B911" s="505"/>
      <c r="C911" s="505"/>
      <c r="D911" s="505"/>
      <c r="E911" s="505"/>
      <c r="F911" s="505"/>
      <c r="G911" s="505"/>
      <c r="H911" s="505"/>
      <c r="I911" s="505"/>
      <c r="J911" s="505"/>
      <c r="K911" s="609"/>
      <c r="L911" s="1166"/>
      <c r="M911" s="1166"/>
      <c r="N911" s="1166"/>
      <c r="O911" s="1166"/>
      <c r="P911" s="1166"/>
      <c r="Q911" s="1166"/>
      <c r="R911" s="1166"/>
      <c r="S911" s="1166"/>
      <c r="T911" s="1166"/>
      <c r="U911" s="1166"/>
      <c r="V911" s="1166"/>
      <c r="W911" s="1166"/>
      <c r="X911" s="1166"/>
      <c r="Y911" s="1166"/>
      <c r="Z911" s="1166"/>
      <c r="AA911" s="1166"/>
      <c r="AB911" s="1166"/>
      <c r="AC911" s="729"/>
    </row>
    <row r="912" spans="1:29" ht="22.5" customHeight="1" thickTop="1" thickBot="1" x14ac:dyDescent="0.3">
      <c r="A912" s="425"/>
      <c r="B912" s="505"/>
      <c r="C912" s="505"/>
      <c r="D912" s="505"/>
      <c r="E912" s="505"/>
      <c r="F912" s="505"/>
      <c r="G912" s="505"/>
      <c r="H912" s="505"/>
      <c r="I912" s="505"/>
      <c r="J912" s="505"/>
      <c r="K912" s="609"/>
      <c r="L912" s="1166"/>
      <c r="M912" s="1166"/>
      <c r="N912" s="1166"/>
      <c r="O912" s="1166"/>
      <c r="P912" s="1166"/>
      <c r="Q912" s="1166"/>
      <c r="R912" s="1166"/>
      <c r="S912" s="1166"/>
      <c r="T912" s="1166"/>
      <c r="U912" s="1166"/>
      <c r="V912" s="1166"/>
      <c r="W912" s="1166"/>
      <c r="X912" s="1166"/>
      <c r="Y912" s="1166"/>
      <c r="Z912" s="1166"/>
      <c r="AA912" s="1166"/>
      <c r="AB912" s="1166"/>
      <c r="AC912" s="729"/>
    </row>
    <row r="913" spans="1:29" ht="22.5" customHeight="1" thickTop="1" thickBot="1" x14ac:dyDescent="0.3">
      <c r="A913" s="425"/>
      <c r="B913" s="505"/>
      <c r="C913" s="505"/>
      <c r="D913" s="505"/>
      <c r="E913" s="505"/>
      <c r="F913" s="505"/>
      <c r="G913" s="505"/>
      <c r="H913" s="505"/>
      <c r="I913" s="505"/>
      <c r="J913" s="505"/>
      <c r="K913" s="609"/>
      <c r="L913" s="1166"/>
      <c r="M913" s="1166"/>
      <c r="N913" s="1166"/>
      <c r="O913" s="1166"/>
      <c r="P913" s="1166"/>
      <c r="Q913" s="1166"/>
      <c r="R913" s="1166"/>
      <c r="S913" s="1166"/>
      <c r="T913" s="1166"/>
      <c r="U913" s="1166"/>
      <c r="V913" s="1166"/>
      <c r="W913" s="1166"/>
      <c r="X913" s="1166"/>
      <c r="Y913" s="1166"/>
      <c r="Z913" s="1166"/>
      <c r="AA913" s="1166"/>
      <c r="AB913" s="1166"/>
      <c r="AC913" s="729"/>
    </row>
    <row r="914" spans="1:29" ht="22.5" customHeight="1" thickTop="1" thickBot="1" x14ac:dyDescent="0.3">
      <c r="A914" s="425"/>
      <c r="B914" s="505"/>
      <c r="C914" s="505"/>
      <c r="D914" s="505"/>
      <c r="E914" s="505"/>
      <c r="F914" s="505"/>
      <c r="G914" s="505"/>
      <c r="H914" s="505"/>
      <c r="I914" s="505"/>
      <c r="J914" s="505"/>
      <c r="K914" s="609"/>
      <c r="L914" s="1166"/>
      <c r="M914" s="1166"/>
      <c r="N914" s="1166"/>
      <c r="O914" s="1166"/>
      <c r="P914" s="1166"/>
      <c r="Q914" s="1166"/>
      <c r="R914" s="1166"/>
      <c r="S914" s="1166"/>
      <c r="T914" s="1166"/>
      <c r="U914" s="1166"/>
      <c r="V914" s="1166"/>
      <c r="W914" s="1166"/>
      <c r="X914" s="1166"/>
      <c r="Y914" s="1166"/>
      <c r="Z914" s="1166"/>
      <c r="AA914" s="1166"/>
      <c r="AB914" s="1166"/>
      <c r="AC914" s="729"/>
    </row>
    <row r="915" spans="1:29" ht="22.5" customHeight="1" thickTop="1" thickBot="1" x14ac:dyDescent="0.3">
      <c r="A915" s="425"/>
      <c r="B915" s="505"/>
      <c r="C915" s="505"/>
      <c r="D915" s="505"/>
      <c r="E915" s="505"/>
      <c r="F915" s="505"/>
      <c r="G915" s="505"/>
      <c r="H915" s="505"/>
      <c r="I915" s="505"/>
      <c r="J915" s="505"/>
      <c r="K915" s="609"/>
      <c r="L915" s="1166"/>
      <c r="M915" s="1166"/>
      <c r="N915" s="1166"/>
      <c r="O915" s="1166"/>
      <c r="P915" s="1166"/>
      <c r="Q915" s="1166"/>
      <c r="R915" s="1166"/>
      <c r="S915" s="1166"/>
      <c r="T915" s="1166"/>
      <c r="U915" s="1166"/>
      <c r="V915" s="1166"/>
      <c r="W915" s="1166"/>
      <c r="X915" s="1166"/>
      <c r="Y915" s="1166"/>
      <c r="Z915" s="1166"/>
      <c r="AA915" s="1166"/>
      <c r="AB915" s="1166"/>
      <c r="AC915" s="729"/>
    </row>
    <row r="916" spans="1:29" ht="22.5" customHeight="1" thickTop="1" thickBot="1" x14ac:dyDescent="0.3">
      <c r="A916" s="425"/>
      <c r="B916" s="505"/>
      <c r="C916" s="505"/>
      <c r="D916" s="505"/>
      <c r="E916" s="505"/>
      <c r="F916" s="505"/>
      <c r="G916" s="505"/>
      <c r="H916" s="505"/>
      <c r="I916" s="505"/>
      <c r="J916" s="505"/>
      <c r="K916" s="609"/>
      <c r="L916" s="1166"/>
      <c r="M916" s="1166"/>
      <c r="N916" s="1166"/>
      <c r="O916" s="1166"/>
      <c r="P916" s="1166"/>
      <c r="Q916" s="1166"/>
      <c r="R916" s="1166"/>
      <c r="S916" s="1166"/>
      <c r="T916" s="1166"/>
      <c r="U916" s="1166"/>
      <c r="V916" s="1166"/>
      <c r="W916" s="1166"/>
      <c r="X916" s="1166"/>
      <c r="Y916" s="1166"/>
      <c r="Z916" s="1166"/>
      <c r="AA916" s="1166"/>
      <c r="AB916" s="1166"/>
      <c r="AC916" s="729"/>
    </row>
    <row r="917" spans="1:29" ht="22.5" customHeight="1" thickTop="1" thickBot="1" x14ac:dyDescent="0.3">
      <c r="A917" s="425"/>
      <c r="B917" s="505"/>
      <c r="C917" s="505"/>
      <c r="D917" s="505"/>
      <c r="E917" s="505"/>
      <c r="F917" s="505"/>
      <c r="G917" s="505"/>
      <c r="H917" s="505"/>
      <c r="I917" s="505"/>
      <c r="J917" s="505"/>
      <c r="K917" s="609"/>
      <c r="L917" s="1166"/>
      <c r="M917" s="1166"/>
      <c r="N917" s="1166"/>
      <c r="O917" s="1166"/>
      <c r="P917" s="1166"/>
      <c r="Q917" s="1166"/>
      <c r="R917" s="1166"/>
      <c r="S917" s="1166"/>
      <c r="T917" s="1166"/>
      <c r="U917" s="1166"/>
      <c r="V917" s="1166"/>
      <c r="W917" s="1166"/>
      <c r="X917" s="1166"/>
      <c r="Y917" s="1166"/>
      <c r="Z917" s="1166"/>
      <c r="AA917" s="1166"/>
      <c r="AB917" s="1166"/>
      <c r="AC917" s="729"/>
    </row>
    <row r="918" spans="1:29" ht="22.5" customHeight="1" thickTop="1" thickBot="1" x14ac:dyDescent="0.3">
      <c r="A918" s="425"/>
      <c r="B918" s="505"/>
      <c r="C918" s="505"/>
      <c r="D918" s="505"/>
      <c r="E918" s="505"/>
      <c r="F918" s="505"/>
      <c r="G918" s="505"/>
      <c r="H918" s="505"/>
      <c r="I918" s="505"/>
      <c r="J918" s="505"/>
      <c r="K918" s="609"/>
      <c r="L918" s="1166"/>
      <c r="M918" s="1166"/>
      <c r="N918" s="1166"/>
      <c r="O918" s="1166"/>
      <c r="P918" s="1166"/>
      <c r="Q918" s="1166"/>
      <c r="R918" s="1166"/>
      <c r="S918" s="1166"/>
      <c r="T918" s="1166"/>
      <c r="U918" s="1166"/>
      <c r="V918" s="1166"/>
      <c r="W918" s="1166"/>
      <c r="X918" s="1166"/>
      <c r="Y918" s="1166"/>
      <c r="Z918" s="1166"/>
      <c r="AA918" s="1166"/>
      <c r="AB918" s="1166"/>
      <c r="AC918" s="729"/>
    </row>
    <row r="919" spans="1:29" ht="22.5" customHeight="1" thickTop="1" thickBot="1" x14ac:dyDescent="0.3">
      <c r="A919" s="425"/>
      <c r="B919" s="505"/>
      <c r="C919" s="505"/>
      <c r="D919" s="505"/>
      <c r="E919" s="505"/>
      <c r="F919" s="505"/>
      <c r="G919" s="505"/>
      <c r="H919" s="505"/>
      <c r="I919" s="505"/>
      <c r="J919" s="505"/>
      <c r="K919" s="609"/>
      <c r="L919" s="1166"/>
      <c r="M919" s="1166"/>
      <c r="N919" s="1166"/>
      <c r="O919" s="1166"/>
      <c r="P919" s="1166"/>
      <c r="Q919" s="1166"/>
      <c r="R919" s="1166"/>
      <c r="S919" s="1166"/>
      <c r="T919" s="1166"/>
      <c r="U919" s="1166"/>
      <c r="V919" s="1166"/>
      <c r="W919" s="1166"/>
      <c r="X919" s="1166"/>
      <c r="Y919" s="1166"/>
      <c r="Z919" s="1166"/>
      <c r="AA919" s="1166"/>
      <c r="AB919" s="1166"/>
      <c r="AC919" s="729"/>
    </row>
    <row r="920" spans="1:29" ht="22.5" customHeight="1" thickTop="1" thickBot="1" x14ac:dyDescent="0.3">
      <c r="A920" s="425"/>
      <c r="B920" s="505"/>
      <c r="C920" s="505"/>
      <c r="D920" s="505"/>
      <c r="E920" s="505"/>
      <c r="F920" s="505"/>
      <c r="G920" s="505"/>
      <c r="H920" s="505"/>
      <c r="I920" s="505"/>
      <c r="J920" s="505"/>
      <c r="K920" s="609"/>
      <c r="L920" s="1166"/>
      <c r="M920" s="1166"/>
      <c r="N920" s="1166"/>
      <c r="O920" s="1166"/>
      <c r="P920" s="1166"/>
      <c r="Q920" s="1166"/>
      <c r="R920" s="1166"/>
      <c r="S920" s="1166"/>
      <c r="T920" s="1166"/>
      <c r="U920" s="1166"/>
      <c r="V920" s="1166"/>
      <c r="W920" s="1166"/>
      <c r="X920" s="1166"/>
      <c r="Y920" s="1166"/>
      <c r="Z920" s="1166"/>
      <c r="AA920" s="1166"/>
      <c r="AB920" s="1166"/>
      <c r="AC920" s="729"/>
    </row>
    <row r="921" spans="1:29" ht="22.5" customHeight="1" thickTop="1" thickBot="1" x14ac:dyDescent="0.3">
      <c r="A921" s="425"/>
      <c r="B921" s="505"/>
      <c r="C921" s="505"/>
      <c r="D921" s="505"/>
      <c r="E921" s="505"/>
      <c r="F921" s="505"/>
      <c r="G921" s="505"/>
      <c r="H921" s="505"/>
      <c r="I921" s="505"/>
      <c r="J921" s="505"/>
      <c r="K921" s="609"/>
      <c r="L921" s="1166"/>
      <c r="M921" s="1166"/>
      <c r="N921" s="1166"/>
      <c r="O921" s="1166"/>
      <c r="P921" s="1166"/>
      <c r="Q921" s="1166"/>
      <c r="R921" s="1166"/>
      <c r="S921" s="1166"/>
      <c r="T921" s="1166"/>
      <c r="U921" s="1166"/>
      <c r="V921" s="1166"/>
      <c r="W921" s="1166"/>
      <c r="X921" s="1166"/>
      <c r="Y921" s="1166"/>
      <c r="Z921" s="1166"/>
      <c r="AA921" s="1166"/>
      <c r="AB921" s="1166"/>
      <c r="AC921" s="729"/>
    </row>
    <row r="922" spans="1:29" ht="22.5" customHeight="1" thickTop="1" thickBot="1" x14ac:dyDescent="0.3">
      <c r="A922" s="425"/>
      <c r="B922" s="505"/>
      <c r="C922" s="505"/>
      <c r="D922" s="505"/>
      <c r="E922" s="505"/>
      <c r="F922" s="505"/>
      <c r="G922" s="505"/>
      <c r="H922" s="505"/>
      <c r="I922" s="505"/>
      <c r="J922" s="505"/>
      <c r="K922" s="609"/>
      <c r="L922" s="1166"/>
      <c r="M922" s="1166"/>
      <c r="N922" s="1166"/>
      <c r="O922" s="1166"/>
      <c r="P922" s="1166"/>
      <c r="Q922" s="1166"/>
      <c r="R922" s="1166"/>
      <c r="S922" s="1166"/>
      <c r="T922" s="1166"/>
      <c r="U922" s="1166"/>
      <c r="V922" s="1166"/>
      <c r="W922" s="1166"/>
      <c r="X922" s="1166"/>
      <c r="Y922" s="1166"/>
      <c r="Z922" s="1166"/>
      <c r="AA922" s="1166"/>
      <c r="AB922" s="1166"/>
      <c r="AC922" s="729"/>
    </row>
    <row r="923" spans="1:29" ht="22.5" customHeight="1" thickTop="1" thickBot="1" x14ac:dyDescent="0.3">
      <c r="A923" s="425"/>
      <c r="B923" s="505"/>
      <c r="C923" s="505"/>
      <c r="D923" s="505"/>
      <c r="E923" s="505"/>
      <c r="F923" s="505"/>
      <c r="G923" s="505"/>
      <c r="H923" s="505"/>
      <c r="I923" s="505"/>
      <c r="J923" s="505"/>
      <c r="K923" s="609"/>
      <c r="L923" s="1166"/>
      <c r="M923" s="1166"/>
      <c r="N923" s="1166"/>
      <c r="O923" s="1166"/>
      <c r="P923" s="1166"/>
      <c r="Q923" s="1166"/>
      <c r="R923" s="1166"/>
      <c r="S923" s="1166"/>
      <c r="T923" s="1166"/>
      <c r="U923" s="1166"/>
      <c r="V923" s="1166"/>
      <c r="W923" s="1166"/>
      <c r="X923" s="1166"/>
      <c r="Y923" s="1166"/>
      <c r="Z923" s="1166"/>
      <c r="AA923" s="1166"/>
      <c r="AB923" s="1166"/>
      <c r="AC923" s="729"/>
    </row>
    <row r="924" spans="1:29" ht="22.5" customHeight="1" thickTop="1" thickBot="1" x14ac:dyDescent="0.3">
      <c r="A924" s="425"/>
      <c r="B924" s="505"/>
      <c r="C924" s="505"/>
      <c r="D924" s="505"/>
      <c r="E924" s="505"/>
      <c r="F924" s="505"/>
      <c r="G924" s="505"/>
      <c r="H924" s="505"/>
      <c r="I924" s="505"/>
      <c r="J924" s="505"/>
      <c r="K924" s="609"/>
      <c r="L924" s="1166"/>
      <c r="M924" s="1166"/>
      <c r="N924" s="1166"/>
      <c r="O924" s="1166"/>
      <c r="P924" s="1166"/>
      <c r="Q924" s="1166"/>
      <c r="R924" s="1166"/>
      <c r="S924" s="1166"/>
      <c r="T924" s="1166"/>
      <c r="U924" s="1166"/>
      <c r="V924" s="1166"/>
      <c r="W924" s="1166"/>
      <c r="X924" s="1166"/>
      <c r="Y924" s="1166"/>
      <c r="Z924" s="1166"/>
      <c r="AA924" s="1166"/>
      <c r="AB924" s="1166"/>
      <c r="AC924" s="729"/>
    </row>
    <row r="925" spans="1:29" ht="22.5" customHeight="1" thickTop="1" thickBot="1" x14ac:dyDescent="0.3">
      <c r="A925" s="425"/>
      <c r="B925" s="505"/>
      <c r="C925" s="505"/>
      <c r="D925" s="505"/>
      <c r="E925" s="505"/>
      <c r="F925" s="505"/>
      <c r="G925" s="505"/>
      <c r="H925" s="505"/>
      <c r="I925" s="505"/>
      <c r="J925" s="505"/>
      <c r="K925" s="609"/>
      <c r="L925" s="1166"/>
      <c r="M925" s="1166"/>
      <c r="N925" s="1166"/>
      <c r="O925" s="1166"/>
      <c r="P925" s="1166"/>
      <c r="Q925" s="1166"/>
      <c r="R925" s="1166"/>
      <c r="S925" s="1166"/>
      <c r="T925" s="1166"/>
      <c r="U925" s="1166"/>
      <c r="V925" s="1166"/>
      <c r="W925" s="1166"/>
      <c r="X925" s="1166"/>
      <c r="Y925" s="1166"/>
      <c r="Z925" s="1166"/>
      <c r="AA925" s="1166"/>
      <c r="AB925" s="1166"/>
      <c r="AC925" s="729"/>
    </row>
    <row r="926" spans="1:29" ht="22.5" customHeight="1" thickTop="1" thickBot="1" x14ac:dyDescent="0.3">
      <c r="A926" s="425"/>
      <c r="B926" s="505"/>
      <c r="C926" s="505"/>
      <c r="D926" s="505"/>
      <c r="E926" s="505"/>
      <c r="F926" s="505"/>
      <c r="G926" s="505"/>
      <c r="H926" s="505"/>
      <c r="I926" s="505"/>
      <c r="J926" s="505"/>
      <c r="K926" s="609"/>
      <c r="L926" s="1166"/>
      <c r="M926" s="1166"/>
      <c r="N926" s="1166"/>
      <c r="O926" s="1166"/>
      <c r="P926" s="1166"/>
      <c r="Q926" s="1166"/>
      <c r="R926" s="1166"/>
      <c r="S926" s="1166"/>
      <c r="T926" s="1166"/>
      <c r="U926" s="1166"/>
      <c r="V926" s="1166"/>
      <c r="W926" s="1166"/>
      <c r="X926" s="1166"/>
      <c r="Y926" s="1166"/>
      <c r="Z926" s="1166"/>
      <c r="AA926" s="1166"/>
      <c r="AB926" s="1166"/>
      <c r="AC926" s="729"/>
    </row>
    <row r="927" spans="1:29" ht="22.5" customHeight="1" thickTop="1" thickBot="1" x14ac:dyDescent="0.3">
      <c r="A927" s="425"/>
      <c r="B927" s="505"/>
      <c r="C927" s="505"/>
      <c r="D927" s="505"/>
      <c r="E927" s="505"/>
      <c r="F927" s="505"/>
      <c r="G927" s="505"/>
      <c r="H927" s="505"/>
      <c r="I927" s="505"/>
      <c r="J927" s="505"/>
      <c r="K927" s="609"/>
      <c r="L927" s="1166"/>
      <c r="M927" s="1166"/>
      <c r="N927" s="1166"/>
      <c r="O927" s="1166"/>
      <c r="P927" s="1166"/>
      <c r="Q927" s="1166"/>
      <c r="R927" s="1166"/>
      <c r="S927" s="1166"/>
      <c r="T927" s="1166"/>
      <c r="U927" s="1166"/>
      <c r="V927" s="1166"/>
      <c r="W927" s="1166"/>
      <c r="X927" s="1166"/>
      <c r="Y927" s="1166"/>
      <c r="Z927" s="1166"/>
      <c r="AA927" s="1166"/>
      <c r="AB927" s="1166"/>
      <c r="AC927" s="729"/>
    </row>
    <row r="928" spans="1:29" ht="22.5" customHeight="1" thickTop="1" thickBot="1" x14ac:dyDescent="0.3">
      <c r="A928" s="425"/>
      <c r="B928" s="505"/>
      <c r="C928" s="505"/>
      <c r="D928" s="505"/>
      <c r="E928" s="505"/>
      <c r="F928" s="505"/>
      <c r="G928" s="505"/>
      <c r="H928" s="505"/>
      <c r="I928" s="505"/>
      <c r="J928" s="505"/>
      <c r="K928" s="609"/>
      <c r="L928" s="1166"/>
      <c r="M928" s="1166"/>
      <c r="N928" s="1166"/>
      <c r="O928" s="1166"/>
      <c r="P928" s="1166"/>
      <c r="Q928" s="1166"/>
      <c r="R928" s="1166"/>
      <c r="S928" s="1166"/>
      <c r="T928" s="1166"/>
      <c r="U928" s="1166"/>
      <c r="V928" s="1166"/>
      <c r="W928" s="1166"/>
      <c r="X928" s="1166"/>
      <c r="Y928" s="1166"/>
      <c r="Z928" s="1166"/>
      <c r="AA928" s="1166"/>
      <c r="AB928" s="1166"/>
      <c r="AC928" s="729"/>
    </row>
    <row r="929" spans="1:29" ht="22.5" customHeight="1" thickTop="1" thickBot="1" x14ac:dyDescent="0.3">
      <c r="A929" s="425"/>
      <c r="B929" s="505"/>
      <c r="C929" s="505"/>
      <c r="D929" s="505"/>
      <c r="E929" s="505"/>
      <c r="F929" s="505"/>
      <c r="G929" s="505"/>
      <c r="H929" s="505"/>
      <c r="I929" s="505"/>
      <c r="J929" s="505"/>
      <c r="K929" s="609"/>
      <c r="L929" s="1166"/>
      <c r="M929" s="1166"/>
      <c r="N929" s="1166"/>
      <c r="O929" s="1166"/>
      <c r="P929" s="1166"/>
      <c r="Q929" s="1166"/>
      <c r="R929" s="1166"/>
      <c r="S929" s="1166"/>
      <c r="T929" s="1166"/>
      <c r="U929" s="1166"/>
      <c r="V929" s="1166"/>
      <c r="W929" s="1166"/>
      <c r="X929" s="1166"/>
      <c r="Y929" s="1166"/>
      <c r="Z929" s="1166"/>
      <c r="AA929" s="1166"/>
      <c r="AB929" s="1166"/>
      <c r="AC929" s="729"/>
    </row>
    <row r="930" spans="1:29" ht="22.5" customHeight="1" thickTop="1" thickBot="1" x14ac:dyDescent="0.3">
      <c r="A930" s="425"/>
      <c r="B930" s="505"/>
      <c r="C930" s="505"/>
      <c r="D930" s="505"/>
      <c r="E930" s="505"/>
      <c r="F930" s="505"/>
      <c r="G930" s="505"/>
      <c r="H930" s="505"/>
      <c r="I930" s="505"/>
      <c r="J930" s="505"/>
      <c r="K930" s="609"/>
      <c r="L930" s="1166"/>
      <c r="M930" s="1166"/>
      <c r="N930" s="1166"/>
      <c r="O930" s="1166"/>
      <c r="P930" s="1166"/>
      <c r="Q930" s="1166"/>
      <c r="R930" s="1166"/>
      <c r="S930" s="1166"/>
      <c r="T930" s="1166"/>
      <c r="U930" s="1166"/>
      <c r="V930" s="1166"/>
      <c r="W930" s="1166"/>
      <c r="X930" s="1166"/>
      <c r="Y930" s="1166"/>
      <c r="Z930" s="1166"/>
      <c r="AA930" s="1166"/>
      <c r="AB930" s="1166"/>
      <c r="AC930" s="729"/>
    </row>
    <row r="931" spans="1:29" ht="22.5" customHeight="1" thickTop="1" thickBot="1" x14ac:dyDescent="0.3">
      <c r="A931" s="425"/>
      <c r="B931" s="505"/>
      <c r="C931" s="505"/>
      <c r="D931" s="505"/>
      <c r="E931" s="505"/>
      <c r="F931" s="505"/>
      <c r="G931" s="505"/>
      <c r="H931" s="505"/>
      <c r="I931" s="505"/>
      <c r="J931" s="505"/>
      <c r="K931" s="609"/>
      <c r="L931" s="1166"/>
      <c r="M931" s="1166"/>
      <c r="N931" s="1166"/>
      <c r="O931" s="1166"/>
      <c r="P931" s="1166"/>
      <c r="Q931" s="1166"/>
      <c r="R931" s="1166"/>
      <c r="S931" s="1166"/>
      <c r="T931" s="1166"/>
      <c r="U931" s="1166"/>
      <c r="V931" s="1166"/>
      <c r="W931" s="1166"/>
      <c r="X931" s="1166"/>
      <c r="Y931" s="1166"/>
      <c r="Z931" s="1166"/>
      <c r="AA931" s="1166"/>
      <c r="AB931" s="1166"/>
      <c r="AC931" s="729"/>
    </row>
    <row r="932" spans="1:29" ht="22.5" customHeight="1" thickTop="1" thickBot="1" x14ac:dyDescent="0.3">
      <c r="A932" s="425"/>
      <c r="B932" s="505"/>
      <c r="C932" s="505"/>
      <c r="D932" s="505"/>
      <c r="E932" s="505"/>
      <c r="F932" s="505"/>
      <c r="G932" s="505"/>
      <c r="H932" s="505"/>
      <c r="I932" s="505"/>
      <c r="J932" s="505"/>
      <c r="K932" s="609"/>
      <c r="L932" s="1166"/>
      <c r="M932" s="1166"/>
      <c r="N932" s="1166"/>
      <c r="O932" s="1166"/>
      <c r="P932" s="1166"/>
      <c r="Q932" s="1166"/>
      <c r="R932" s="1166"/>
      <c r="S932" s="1166"/>
      <c r="T932" s="1166"/>
      <c r="U932" s="1166"/>
      <c r="V932" s="1166"/>
      <c r="W932" s="1166"/>
      <c r="X932" s="1166"/>
      <c r="Y932" s="1166"/>
      <c r="Z932" s="1166"/>
      <c r="AA932" s="1166"/>
      <c r="AB932" s="1166"/>
      <c r="AC932" s="729"/>
    </row>
    <row r="933" spans="1:29" ht="22.5" customHeight="1" thickTop="1" thickBot="1" x14ac:dyDescent="0.3">
      <c r="A933" s="425"/>
      <c r="B933" s="505"/>
      <c r="C933" s="505"/>
      <c r="D933" s="505"/>
      <c r="E933" s="505"/>
      <c r="F933" s="505"/>
      <c r="G933" s="505"/>
      <c r="H933" s="505"/>
      <c r="I933" s="505"/>
      <c r="J933" s="505"/>
      <c r="K933" s="609"/>
      <c r="L933" s="1166"/>
      <c r="M933" s="1166"/>
      <c r="N933" s="1166"/>
      <c r="O933" s="1166"/>
      <c r="P933" s="1166"/>
      <c r="Q933" s="1166"/>
      <c r="R933" s="1166"/>
      <c r="S933" s="1166"/>
      <c r="T933" s="1166"/>
      <c r="U933" s="1166"/>
      <c r="V933" s="1166"/>
      <c r="W933" s="1166"/>
      <c r="X933" s="1166"/>
      <c r="Y933" s="1166"/>
      <c r="Z933" s="1166"/>
      <c r="AA933" s="1166"/>
      <c r="AB933" s="1166"/>
      <c r="AC933" s="729"/>
    </row>
    <row r="934" spans="1:29" ht="22.5" customHeight="1" thickTop="1" thickBot="1" x14ac:dyDescent="0.3">
      <c r="A934" s="425"/>
      <c r="B934" s="505"/>
      <c r="C934" s="505"/>
      <c r="D934" s="505"/>
      <c r="E934" s="505"/>
      <c r="F934" s="505"/>
      <c r="G934" s="505"/>
      <c r="H934" s="505"/>
      <c r="I934" s="505"/>
      <c r="J934" s="505"/>
      <c r="K934" s="609"/>
      <c r="L934" s="1166"/>
      <c r="M934" s="1166"/>
      <c r="N934" s="1166"/>
      <c r="O934" s="1166"/>
      <c r="P934" s="1166"/>
      <c r="Q934" s="1166"/>
      <c r="R934" s="1166"/>
      <c r="S934" s="1166"/>
      <c r="T934" s="1166"/>
      <c r="U934" s="1166"/>
      <c r="V934" s="1166"/>
      <c r="W934" s="1166"/>
      <c r="X934" s="1166"/>
      <c r="Y934" s="1166"/>
      <c r="Z934" s="1166"/>
      <c r="AA934" s="1166"/>
      <c r="AB934" s="1166"/>
      <c r="AC934" s="729"/>
    </row>
    <row r="935" spans="1:29" ht="22.5" customHeight="1" thickTop="1" thickBot="1" x14ac:dyDescent="0.3">
      <c r="A935" s="425"/>
      <c r="B935" s="505"/>
      <c r="C935" s="505"/>
      <c r="D935" s="505"/>
      <c r="E935" s="505"/>
      <c r="F935" s="505"/>
      <c r="G935" s="505"/>
      <c r="H935" s="505"/>
      <c r="I935" s="505"/>
      <c r="J935" s="505"/>
      <c r="K935" s="609"/>
      <c r="L935" s="1166"/>
      <c r="M935" s="1166"/>
      <c r="N935" s="1166"/>
      <c r="O935" s="1166"/>
      <c r="P935" s="1166"/>
      <c r="Q935" s="1166"/>
      <c r="R935" s="1166"/>
      <c r="S935" s="1166"/>
      <c r="T935" s="1166"/>
      <c r="U935" s="1166"/>
      <c r="V935" s="1166"/>
      <c r="W935" s="1166"/>
      <c r="X935" s="1166"/>
      <c r="Y935" s="1166"/>
      <c r="Z935" s="1166"/>
      <c r="AA935" s="1166"/>
      <c r="AB935" s="1166"/>
      <c r="AC935" s="729"/>
    </row>
    <row r="936" spans="1:29" ht="22.5" customHeight="1" thickTop="1" thickBot="1" x14ac:dyDescent="0.3">
      <c r="A936" s="425"/>
      <c r="B936" s="505"/>
      <c r="C936" s="505"/>
      <c r="D936" s="505"/>
      <c r="E936" s="505"/>
      <c r="F936" s="505"/>
      <c r="G936" s="505"/>
      <c r="H936" s="505"/>
      <c r="I936" s="505"/>
      <c r="J936" s="505"/>
      <c r="K936" s="609"/>
      <c r="L936" s="1166"/>
      <c r="M936" s="1166"/>
      <c r="N936" s="1166"/>
      <c r="O936" s="1166"/>
      <c r="P936" s="1166"/>
      <c r="Q936" s="1166"/>
      <c r="R936" s="1166"/>
      <c r="S936" s="1166"/>
      <c r="T936" s="1166"/>
      <c r="U936" s="1166"/>
      <c r="V936" s="1166"/>
      <c r="W936" s="1166"/>
      <c r="X936" s="1166"/>
      <c r="Y936" s="1166"/>
      <c r="Z936" s="1166"/>
      <c r="AA936" s="1166"/>
      <c r="AB936" s="1166"/>
      <c r="AC936" s="729"/>
    </row>
    <row r="937" spans="1:29" ht="22.5" customHeight="1" thickTop="1" thickBot="1" x14ac:dyDescent="0.3">
      <c r="A937" s="425"/>
      <c r="B937" s="505"/>
      <c r="C937" s="505"/>
      <c r="D937" s="505"/>
      <c r="E937" s="505"/>
      <c r="F937" s="505"/>
      <c r="G937" s="505"/>
      <c r="H937" s="505"/>
      <c r="I937" s="505"/>
      <c r="J937" s="505"/>
      <c r="K937" s="609"/>
      <c r="L937" s="1166"/>
      <c r="M937" s="1166"/>
      <c r="N937" s="1166"/>
      <c r="O937" s="1166"/>
      <c r="P937" s="1166"/>
      <c r="Q937" s="1166"/>
      <c r="R937" s="1166"/>
      <c r="S937" s="1166"/>
      <c r="T937" s="1166"/>
      <c r="U937" s="1166"/>
      <c r="V937" s="1166"/>
      <c r="W937" s="1166"/>
      <c r="X937" s="1166"/>
      <c r="Y937" s="1166"/>
      <c r="Z937" s="1166"/>
      <c r="AA937" s="1166"/>
      <c r="AB937" s="1166"/>
      <c r="AC937" s="729"/>
    </row>
    <row r="938" spans="1:29" ht="22.5" customHeight="1" thickTop="1" thickBot="1" x14ac:dyDescent="0.3">
      <c r="A938" s="425"/>
      <c r="B938" s="505"/>
      <c r="C938" s="505"/>
      <c r="D938" s="505"/>
      <c r="E938" s="505"/>
      <c r="F938" s="505"/>
      <c r="G938" s="505"/>
      <c r="H938" s="505"/>
      <c r="I938" s="505"/>
      <c r="J938" s="505"/>
      <c r="K938" s="609"/>
      <c r="L938" s="1166"/>
      <c r="M938" s="1166"/>
      <c r="N938" s="1166"/>
      <c r="O938" s="1166"/>
      <c r="P938" s="1166"/>
      <c r="Q938" s="1166"/>
      <c r="R938" s="1166"/>
      <c r="S938" s="1166"/>
      <c r="T938" s="1166"/>
      <c r="U938" s="1166"/>
      <c r="V938" s="1166"/>
      <c r="W938" s="1166"/>
      <c r="X938" s="1166"/>
      <c r="Y938" s="1166"/>
      <c r="Z938" s="1166"/>
      <c r="AA938" s="1166"/>
      <c r="AB938" s="1166"/>
      <c r="AC938" s="729"/>
    </row>
    <row r="939" spans="1:29" ht="22.5" customHeight="1" thickTop="1" thickBot="1" x14ac:dyDescent="0.3">
      <c r="A939" s="425"/>
      <c r="B939" s="505"/>
      <c r="C939" s="505"/>
      <c r="D939" s="505"/>
      <c r="E939" s="505"/>
      <c r="F939" s="505"/>
      <c r="G939" s="505"/>
      <c r="H939" s="505"/>
      <c r="I939" s="505"/>
      <c r="J939" s="505"/>
      <c r="K939" s="609"/>
      <c r="L939" s="1166"/>
      <c r="M939" s="1166"/>
      <c r="N939" s="1166"/>
      <c r="O939" s="1166"/>
      <c r="P939" s="1166"/>
      <c r="Q939" s="1166"/>
      <c r="R939" s="1166"/>
      <c r="S939" s="1166"/>
      <c r="T939" s="1166"/>
      <c r="U939" s="1166"/>
      <c r="V939" s="1166"/>
      <c r="W939" s="1166"/>
      <c r="X939" s="1166"/>
      <c r="Y939" s="1166"/>
      <c r="Z939" s="1166"/>
      <c r="AA939" s="1166"/>
      <c r="AB939" s="1166"/>
      <c r="AC939" s="729"/>
    </row>
    <row r="940" spans="1:29" ht="22.5" customHeight="1" thickTop="1" thickBot="1" x14ac:dyDescent="0.3">
      <c r="A940" s="425"/>
      <c r="B940" s="505"/>
      <c r="C940" s="505"/>
      <c r="D940" s="505"/>
      <c r="E940" s="505"/>
      <c r="F940" s="505"/>
      <c r="G940" s="505"/>
      <c r="H940" s="505"/>
      <c r="I940" s="505"/>
      <c r="J940" s="505"/>
      <c r="K940" s="609"/>
      <c r="L940" s="1166"/>
      <c r="M940" s="1166"/>
      <c r="N940" s="1166"/>
      <c r="O940" s="1166"/>
      <c r="P940" s="1166"/>
      <c r="Q940" s="1166"/>
      <c r="R940" s="1166"/>
      <c r="S940" s="1166"/>
      <c r="T940" s="1166"/>
      <c r="U940" s="1166"/>
      <c r="V940" s="1166"/>
      <c r="W940" s="1166"/>
      <c r="X940" s="1166"/>
      <c r="Y940" s="1166"/>
      <c r="Z940" s="1166"/>
      <c r="AA940" s="1166"/>
      <c r="AB940" s="1166"/>
      <c r="AC940" s="729"/>
    </row>
    <row r="941" spans="1:29" ht="22.5" customHeight="1" thickTop="1" thickBot="1" x14ac:dyDescent="0.3">
      <c r="A941" s="425"/>
      <c r="B941" s="505"/>
      <c r="C941" s="505"/>
      <c r="D941" s="505"/>
      <c r="E941" s="505"/>
      <c r="F941" s="505"/>
      <c r="G941" s="505"/>
      <c r="H941" s="505"/>
      <c r="I941" s="505"/>
      <c r="J941" s="505"/>
      <c r="K941" s="609"/>
      <c r="L941" s="1166"/>
      <c r="M941" s="1166"/>
      <c r="N941" s="1166"/>
      <c r="O941" s="1166"/>
      <c r="P941" s="1166"/>
      <c r="Q941" s="1166"/>
      <c r="R941" s="1166"/>
      <c r="S941" s="1166"/>
      <c r="T941" s="1166"/>
      <c r="U941" s="1166"/>
      <c r="V941" s="1166"/>
      <c r="W941" s="1166"/>
      <c r="X941" s="1166"/>
      <c r="Y941" s="1166"/>
      <c r="Z941" s="1166"/>
      <c r="AA941" s="1166"/>
      <c r="AB941" s="1166"/>
      <c r="AC941" s="729"/>
    </row>
    <row r="942" spans="1:29" ht="22.5" customHeight="1" thickTop="1" thickBot="1" x14ac:dyDescent="0.3">
      <c r="A942" s="425"/>
      <c r="B942" s="505"/>
      <c r="C942" s="505"/>
      <c r="D942" s="505"/>
      <c r="E942" s="505"/>
      <c r="F942" s="505"/>
      <c r="G942" s="505"/>
      <c r="H942" s="505"/>
      <c r="I942" s="505"/>
      <c r="J942" s="505"/>
      <c r="K942" s="609"/>
      <c r="L942" s="1166"/>
      <c r="M942" s="1166"/>
      <c r="N942" s="1166"/>
      <c r="O942" s="1166"/>
      <c r="P942" s="1166"/>
      <c r="Q942" s="1166"/>
      <c r="R942" s="1166"/>
      <c r="S942" s="1166"/>
      <c r="T942" s="1166"/>
      <c r="U942" s="1166"/>
      <c r="V942" s="1166"/>
      <c r="W942" s="1166"/>
      <c r="X942" s="1166"/>
      <c r="Y942" s="1166"/>
      <c r="Z942" s="1166"/>
      <c r="AA942" s="1166"/>
      <c r="AB942" s="1166"/>
      <c r="AC942" s="729"/>
    </row>
    <row r="943" spans="1:29" ht="22.5" customHeight="1" thickTop="1" thickBot="1" x14ac:dyDescent="0.3">
      <c r="A943" s="425"/>
      <c r="B943" s="505"/>
      <c r="C943" s="505"/>
      <c r="D943" s="505"/>
      <c r="E943" s="505"/>
      <c r="F943" s="505"/>
      <c r="G943" s="505"/>
      <c r="H943" s="505"/>
      <c r="I943" s="505"/>
      <c r="J943" s="505"/>
      <c r="K943" s="609"/>
      <c r="L943" s="1166"/>
      <c r="M943" s="1166"/>
      <c r="N943" s="1166"/>
      <c r="O943" s="1166"/>
      <c r="P943" s="1166"/>
      <c r="Q943" s="1166"/>
      <c r="R943" s="1166"/>
      <c r="S943" s="1166"/>
      <c r="T943" s="1166"/>
      <c r="U943" s="1166"/>
      <c r="V943" s="1166"/>
      <c r="W943" s="1166"/>
      <c r="X943" s="1166"/>
      <c r="Y943" s="1166"/>
      <c r="Z943" s="1166"/>
      <c r="AA943" s="1166"/>
      <c r="AB943" s="1166"/>
      <c r="AC943" s="729"/>
    </row>
    <row r="944" spans="1:29" ht="22.5" customHeight="1" thickTop="1" thickBot="1" x14ac:dyDescent="0.3">
      <c r="A944" s="425"/>
      <c r="B944" s="505"/>
      <c r="C944" s="505"/>
      <c r="D944" s="505"/>
      <c r="E944" s="505"/>
      <c r="F944" s="505"/>
      <c r="G944" s="505"/>
      <c r="H944" s="505"/>
      <c r="I944" s="505"/>
      <c r="J944" s="505"/>
      <c r="K944" s="609"/>
      <c r="L944" s="1166"/>
      <c r="M944" s="1166"/>
      <c r="N944" s="1166"/>
      <c r="O944" s="1166"/>
      <c r="P944" s="1166"/>
      <c r="Q944" s="1166"/>
      <c r="R944" s="1166"/>
      <c r="S944" s="1166"/>
      <c r="T944" s="1166"/>
      <c r="U944" s="1166"/>
      <c r="V944" s="1166"/>
      <c r="W944" s="1166"/>
      <c r="X944" s="1166"/>
      <c r="Y944" s="1166"/>
      <c r="Z944" s="1166"/>
      <c r="AA944" s="1166"/>
      <c r="AB944" s="1166"/>
      <c r="AC944" s="729"/>
    </row>
    <row r="945" spans="1:29" ht="22.5" customHeight="1" thickTop="1" thickBot="1" x14ac:dyDescent="0.3">
      <c r="A945" s="425"/>
      <c r="B945" s="505"/>
      <c r="C945" s="505"/>
      <c r="D945" s="505"/>
      <c r="E945" s="505"/>
      <c r="F945" s="505"/>
      <c r="G945" s="505"/>
      <c r="H945" s="505"/>
      <c r="I945" s="505"/>
      <c r="J945" s="505"/>
      <c r="K945" s="609"/>
      <c r="L945" s="1166"/>
      <c r="M945" s="1166"/>
      <c r="N945" s="1166"/>
      <c r="O945" s="1166"/>
      <c r="P945" s="1166"/>
      <c r="Q945" s="1166"/>
      <c r="R945" s="1166"/>
      <c r="S945" s="1166"/>
      <c r="T945" s="1166"/>
      <c r="U945" s="1166"/>
      <c r="V945" s="1166"/>
      <c r="W945" s="1166"/>
      <c r="X945" s="1166"/>
      <c r="Y945" s="1166"/>
      <c r="Z945" s="1166"/>
      <c r="AA945" s="1166"/>
      <c r="AB945" s="1166"/>
      <c r="AC945" s="729"/>
    </row>
    <row r="946" spans="1:29" ht="22.5" customHeight="1" thickTop="1" thickBot="1" x14ac:dyDescent="0.3">
      <c r="A946" s="425"/>
      <c r="B946" s="505"/>
      <c r="C946" s="505"/>
      <c r="D946" s="505"/>
      <c r="E946" s="505"/>
      <c r="F946" s="505"/>
      <c r="G946" s="505"/>
      <c r="H946" s="505"/>
      <c r="I946" s="505"/>
      <c r="J946" s="505"/>
      <c r="K946" s="609"/>
      <c r="L946" s="1166"/>
      <c r="M946" s="1166"/>
      <c r="N946" s="1166"/>
      <c r="O946" s="1166"/>
      <c r="P946" s="1166"/>
      <c r="Q946" s="1166"/>
      <c r="R946" s="1166"/>
      <c r="S946" s="1166"/>
      <c r="T946" s="1166"/>
      <c r="U946" s="1166"/>
      <c r="V946" s="1166"/>
      <c r="W946" s="1166"/>
      <c r="X946" s="1166"/>
      <c r="Y946" s="1166"/>
      <c r="Z946" s="1166"/>
      <c r="AA946" s="1166"/>
      <c r="AB946" s="1166"/>
      <c r="AC946" s="729"/>
    </row>
    <row r="947" spans="1:29" ht="22.5" customHeight="1" thickTop="1" thickBot="1" x14ac:dyDescent="0.3">
      <c r="A947" s="425"/>
      <c r="B947" s="505"/>
      <c r="C947" s="505"/>
      <c r="D947" s="505"/>
      <c r="E947" s="505"/>
      <c r="F947" s="505"/>
      <c r="G947" s="505"/>
      <c r="H947" s="505"/>
      <c r="I947" s="505"/>
      <c r="J947" s="505"/>
      <c r="K947" s="609"/>
      <c r="L947" s="1166"/>
      <c r="M947" s="1166"/>
      <c r="N947" s="1166"/>
      <c r="O947" s="1166"/>
      <c r="P947" s="1166"/>
      <c r="Q947" s="1166"/>
      <c r="R947" s="1166"/>
      <c r="S947" s="1166"/>
      <c r="T947" s="1166"/>
      <c r="U947" s="1166"/>
      <c r="V947" s="1166"/>
      <c r="W947" s="1166"/>
      <c r="X947" s="1166"/>
      <c r="Y947" s="1166"/>
      <c r="Z947" s="1166"/>
      <c r="AA947" s="1166"/>
      <c r="AB947" s="1166"/>
      <c r="AC947" s="729"/>
    </row>
    <row r="948" spans="1:29" ht="22.5" customHeight="1" thickTop="1" thickBot="1" x14ac:dyDescent="0.3">
      <c r="A948" s="425"/>
      <c r="B948" s="505"/>
      <c r="C948" s="505"/>
      <c r="D948" s="505"/>
      <c r="E948" s="505"/>
      <c r="F948" s="505"/>
      <c r="G948" s="505"/>
      <c r="H948" s="505"/>
      <c r="I948" s="505"/>
      <c r="J948" s="505"/>
      <c r="K948" s="609"/>
      <c r="L948" s="1166"/>
      <c r="M948" s="1166"/>
      <c r="N948" s="1166"/>
      <c r="O948" s="1166"/>
      <c r="P948" s="1166"/>
      <c r="Q948" s="1166"/>
      <c r="R948" s="1166"/>
      <c r="S948" s="1166"/>
      <c r="T948" s="1166"/>
      <c r="U948" s="1166"/>
      <c r="V948" s="1166"/>
      <c r="W948" s="1166"/>
      <c r="X948" s="1166"/>
      <c r="Y948" s="1166"/>
      <c r="Z948" s="1166"/>
      <c r="AA948" s="1166"/>
      <c r="AB948" s="1166"/>
      <c r="AC948" s="729"/>
    </row>
    <row r="949" spans="1:29" ht="22.5" customHeight="1" thickTop="1" thickBot="1" x14ac:dyDescent="0.3">
      <c r="A949" s="425"/>
      <c r="B949" s="505"/>
      <c r="C949" s="505"/>
      <c r="D949" s="505"/>
      <c r="E949" s="505"/>
      <c r="F949" s="505"/>
      <c r="G949" s="505"/>
      <c r="H949" s="505"/>
      <c r="I949" s="505"/>
      <c r="J949" s="505"/>
      <c r="K949" s="609"/>
      <c r="L949" s="1166"/>
      <c r="M949" s="1166"/>
      <c r="N949" s="1166"/>
      <c r="O949" s="1166"/>
      <c r="P949" s="1166"/>
      <c r="Q949" s="1166"/>
      <c r="R949" s="1166"/>
      <c r="S949" s="1166"/>
      <c r="T949" s="1166"/>
      <c r="U949" s="1166"/>
      <c r="V949" s="1166"/>
      <c r="W949" s="1166"/>
      <c r="X949" s="1166"/>
      <c r="Y949" s="1166"/>
      <c r="Z949" s="1166"/>
      <c r="AA949" s="1166"/>
      <c r="AB949" s="1166"/>
      <c r="AC949" s="729"/>
    </row>
    <row r="950" spans="1:29" ht="22.5" customHeight="1" thickTop="1" thickBot="1" x14ac:dyDescent="0.3">
      <c r="A950" s="425"/>
      <c r="B950" s="505"/>
      <c r="C950" s="505"/>
      <c r="D950" s="505"/>
      <c r="E950" s="505"/>
      <c r="F950" s="505"/>
      <c r="G950" s="505"/>
      <c r="H950" s="505"/>
      <c r="I950" s="505"/>
      <c r="J950" s="505"/>
      <c r="K950" s="609"/>
      <c r="L950" s="1166"/>
      <c r="M950" s="1166"/>
      <c r="N950" s="1166"/>
      <c r="O950" s="1166"/>
      <c r="P950" s="1166"/>
      <c r="Q950" s="1166"/>
      <c r="R950" s="1166"/>
      <c r="S950" s="1166"/>
      <c r="T950" s="1166"/>
      <c r="U950" s="1166"/>
      <c r="V950" s="1166"/>
      <c r="W950" s="1166"/>
      <c r="X950" s="1166"/>
      <c r="Y950" s="1166"/>
      <c r="Z950" s="1166"/>
      <c r="AA950" s="1166"/>
      <c r="AB950" s="1166"/>
      <c r="AC950" s="729"/>
    </row>
    <row r="951" spans="1:29" ht="22.5" customHeight="1" thickTop="1" thickBot="1" x14ac:dyDescent="0.3">
      <c r="A951" s="425"/>
      <c r="B951" s="505"/>
      <c r="C951" s="505"/>
      <c r="D951" s="505"/>
      <c r="E951" s="505"/>
      <c r="F951" s="505"/>
      <c r="G951" s="505"/>
      <c r="H951" s="505"/>
      <c r="I951" s="505"/>
      <c r="J951" s="505"/>
      <c r="K951" s="609"/>
      <c r="L951" s="1166"/>
      <c r="M951" s="1166"/>
      <c r="N951" s="1166"/>
      <c r="O951" s="1166"/>
      <c r="P951" s="1166"/>
      <c r="Q951" s="1166"/>
      <c r="R951" s="1166"/>
      <c r="S951" s="1166"/>
      <c r="T951" s="1166"/>
      <c r="U951" s="1166"/>
      <c r="V951" s="1166"/>
      <c r="W951" s="1166"/>
      <c r="X951" s="1166"/>
      <c r="Y951" s="1166"/>
      <c r="Z951" s="1166"/>
      <c r="AA951" s="1166"/>
      <c r="AB951" s="1166"/>
      <c r="AC951" s="729"/>
    </row>
    <row r="952" spans="1:29" ht="22.5" customHeight="1" thickTop="1" thickBot="1" x14ac:dyDescent="0.3">
      <c r="A952" s="425"/>
      <c r="B952" s="505"/>
      <c r="C952" s="505"/>
      <c r="D952" s="505"/>
      <c r="E952" s="505"/>
      <c r="F952" s="505"/>
      <c r="G952" s="505"/>
      <c r="H952" s="505"/>
      <c r="I952" s="505"/>
      <c r="J952" s="505"/>
      <c r="K952" s="609"/>
      <c r="L952" s="1166"/>
      <c r="M952" s="1166"/>
      <c r="N952" s="1166"/>
      <c r="O952" s="1166"/>
      <c r="P952" s="1166"/>
      <c r="Q952" s="1166"/>
      <c r="R952" s="1166"/>
      <c r="S952" s="1166"/>
      <c r="T952" s="1166"/>
      <c r="U952" s="1166"/>
      <c r="V952" s="1166"/>
      <c r="W952" s="1166"/>
      <c r="X952" s="1166"/>
      <c r="Y952" s="1166"/>
      <c r="Z952" s="1166"/>
      <c r="AA952" s="1166"/>
      <c r="AB952" s="1166"/>
      <c r="AC952" s="729"/>
    </row>
    <row r="953" spans="1:29" ht="22.5" customHeight="1" thickTop="1" thickBot="1" x14ac:dyDescent="0.3">
      <c r="A953" s="425"/>
      <c r="B953" s="505"/>
      <c r="C953" s="505"/>
      <c r="D953" s="505"/>
      <c r="E953" s="505"/>
      <c r="F953" s="505"/>
      <c r="G953" s="505"/>
      <c r="H953" s="505"/>
      <c r="I953" s="505"/>
      <c r="J953" s="505"/>
      <c r="K953" s="609"/>
      <c r="L953" s="1166"/>
      <c r="M953" s="1166"/>
      <c r="N953" s="1166"/>
      <c r="O953" s="1166"/>
      <c r="P953" s="1166"/>
      <c r="Q953" s="1166"/>
      <c r="R953" s="1166"/>
      <c r="S953" s="1166"/>
      <c r="T953" s="1166"/>
      <c r="U953" s="1166"/>
      <c r="V953" s="1166"/>
      <c r="W953" s="1166"/>
      <c r="X953" s="1166"/>
      <c r="Y953" s="1166"/>
      <c r="Z953" s="1166"/>
      <c r="AA953" s="1166"/>
      <c r="AB953" s="1166"/>
      <c r="AC953" s="729"/>
    </row>
    <row r="954" spans="1:29" ht="22.5" customHeight="1" thickTop="1" thickBot="1" x14ac:dyDescent="0.3">
      <c r="A954" s="425"/>
      <c r="B954" s="505"/>
      <c r="C954" s="505"/>
      <c r="D954" s="505"/>
      <c r="E954" s="505"/>
      <c r="F954" s="505"/>
      <c r="G954" s="505"/>
      <c r="H954" s="505"/>
      <c r="I954" s="505"/>
      <c r="J954" s="505"/>
      <c r="K954" s="609"/>
      <c r="L954" s="1166"/>
      <c r="M954" s="1166"/>
      <c r="N954" s="1166"/>
      <c r="O954" s="1166"/>
      <c r="P954" s="1166"/>
      <c r="Q954" s="1166"/>
      <c r="R954" s="1166"/>
      <c r="S954" s="1166"/>
      <c r="T954" s="1166"/>
      <c r="U954" s="1166"/>
      <c r="V954" s="1166"/>
      <c r="W954" s="1166"/>
      <c r="X954" s="1166"/>
      <c r="Y954" s="1166"/>
      <c r="Z954" s="1166"/>
      <c r="AA954" s="1166"/>
      <c r="AB954" s="1166"/>
      <c r="AC954" s="729"/>
    </row>
    <row r="955" spans="1:29" ht="22.5" customHeight="1" thickTop="1" thickBot="1" x14ac:dyDescent="0.3">
      <c r="A955" s="425"/>
      <c r="B955" s="505"/>
      <c r="C955" s="505"/>
      <c r="D955" s="505"/>
      <c r="E955" s="505"/>
      <c r="F955" s="505"/>
      <c r="G955" s="505"/>
      <c r="H955" s="505"/>
      <c r="I955" s="505"/>
      <c r="J955" s="505"/>
      <c r="K955" s="609"/>
      <c r="L955" s="1166"/>
      <c r="M955" s="1166"/>
      <c r="N955" s="1166"/>
      <c r="O955" s="1166"/>
      <c r="P955" s="1166"/>
      <c r="Q955" s="1166"/>
      <c r="R955" s="1166"/>
      <c r="S955" s="1166"/>
      <c r="T955" s="1166"/>
      <c r="U955" s="1166"/>
      <c r="V955" s="1166"/>
      <c r="W955" s="1166"/>
      <c r="X955" s="1166"/>
      <c r="Y955" s="1166"/>
      <c r="Z955" s="1166"/>
      <c r="AA955" s="1166"/>
      <c r="AB955" s="1166"/>
      <c r="AC955" s="729"/>
    </row>
    <row r="956" spans="1:29" ht="22.5" customHeight="1" thickTop="1" thickBot="1" x14ac:dyDescent="0.3">
      <c r="A956" s="425"/>
      <c r="B956" s="505"/>
      <c r="C956" s="505"/>
      <c r="D956" s="505"/>
      <c r="E956" s="505"/>
      <c r="F956" s="505"/>
      <c r="G956" s="505"/>
      <c r="H956" s="505"/>
      <c r="I956" s="505"/>
      <c r="J956" s="505"/>
      <c r="K956" s="609"/>
      <c r="L956" s="1166"/>
      <c r="M956" s="1166"/>
      <c r="N956" s="1166"/>
      <c r="O956" s="1166"/>
      <c r="P956" s="1166"/>
      <c r="Q956" s="1166"/>
      <c r="R956" s="1166"/>
      <c r="S956" s="1166"/>
      <c r="T956" s="1166"/>
      <c r="U956" s="1166"/>
      <c r="V956" s="1166"/>
      <c r="W956" s="1166"/>
      <c r="X956" s="1166"/>
      <c r="Y956" s="1166"/>
      <c r="Z956" s="1166"/>
      <c r="AA956" s="1166"/>
      <c r="AB956" s="1166"/>
      <c r="AC956" s="729"/>
    </row>
    <row r="957" spans="1:29" ht="22.5" customHeight="1" thickTop="1" thickBot="1" x14ac:dyDescent="0.3">
      <c r="A957" s="425"/>
      <c r="B957" s="505"/>
      <c r="C957" s="505"/>
      <c r="D957" s="505"/>
      <c r="E957" s="505"/>
      <c r="F957" s="505"/>
      <c r="G957" s="505"/>
      <c r="H957" s="505"/>
      <c r="I957" s="505"/>
      <c r="J957" s="505"/>
      <c r="K957" s="609"/>
      <c r="L957" s="1166"/>
      <c r="M957" s="1166"/>
      <c r="N957" s="1166"/>
      <c r="O957" s="1166"/>
      <c r="P957" s="1166"/>
      <c r="Q957" s="1166"/>
      <c r="R957" s="1166"/>
      <c r="S957" s="1166"/>
      <c r="T957" s="1166"/>
      <c r="U957" s="1166"/>
      <c r="V957" s="1166"/>
      <c r="W957" s="1166"/>
      <c r="X957" s="1166"/>
      <c r="Y957" s="1166"/>
      <c r="Z957" s="1166"/>
      <c r="AA957" s="1166"/>
      <c r="AB957" s="1166"/>
      <c r="AC957" s="729"/>
    </row>
    <row r="958" spans="1:29" ht="22.5" customHeight="1" thickTop="1" thickBot="1" x14ac:dyDescent="0.3">
      <c r="A958" s="425"/>
      <c r="B958" s="505"/>
      <c r="C958" s="505"/>
      <c r="D958" s="505"/>
      <c r="E958" s="505"/>
      <c r="F958" s="505"/>
      <c r="G958" s="505"/>
      <c r="H958" s="505"/>
      <c r="I958" s="505"/>
      <c r="J958" s="505"/>
      <c r="K958" s="609"/>
      <c r="L958" s="1166"/>
      <c r="M958" s="1166"/>
      <c r="N958" s="1166"/>
      <c r="O958" s="1166"/>
      <c r="P958" s="1166"/>
      <c r="Q958" s="1166"/>
      <c r="R958" s="1166"/>
      <c r="S958" s="1166"/>
      <c r="T958" s="1166"/>
      <c r="U958" s="1166"/>
      <c r="V958" s="1166"/>
      <c r="W958" s="1166"/>
      <c r="X958" s="1166"/>
      <c r="Y958" s="1166"/>
      <c r="Z958" s="1166"/>
      <c r="AA958" s="1166"/>
      <c r="AB958" s="1166"/>
      <c r="AC958" s="729"/>
    </row>
    <row r="959" spans="1:29" ht="22.5" customHeight="1" thickTop="1" thickBot="1" x14ac:dyDescent="0.3">
      <c r="A959" s="425"/>
      <c r="B959" s="505"/>
      <c r="C959" s="505"/>
      <c r="D959" s="505"/>
      <c r="E959" s="505"/>
      <c r="F959" s="505"/>
      <c r="G959" s="505"/>
      <c r="H959" s="505"/>
      <c r="I959" s="505"/>
      <c r="J959" s="505"/>
      <c r="K959" s="609"/>
      <c r="L959" s="1166"/>
      <c r="M959" s="1166"/>
      <c r="N959" s="1166"/>
      <c r="O959" s="1166"/>
      <c r="P959" s="1166"/>
      <c r="Q959" s="1166"/>
      <c r="R959" s="1166"/>
      <c r="S959" s="1166"/>
      <c r="T959" s="1166"/>
      <c r="U959" s="1166"/>
      <c r="V959" s="1166"/>
      <c r="W959" s="1166"/>
      <c r="X959" s="1166"/>
      <c r="Y959" s="1166"/>
      <c r="Z959" s="1166"/>
      <c r="AA959" s="1166"/>
      <c r="AB959" s="1166"/>
      <c r="AC959" s="729"/>
    </row>
    <row r="960" spans="1:29" ht="22.5" customHeight="1" thickTop="1" thickBot="1" x14ac:dyDescent="0.3">
      <c r="A960" s="425"/>
      <c r="B960" s="505"/>
      <c r="C960" s="505"/>
      <c r="D960" s="505"/>
      <c r="E960" s="505"/>
      <c r="F960" s="505"/>
      <c r="G960" s="505"/>
      <c r="H960" s="505"/>
      <c r="I960" s="505"/>
      <c r="J960" s="505"/>
      <c r="K960" s="609"/>
      <c r="L960" s="1166"/>
      <c r="M960" s="1166"/>
      <c r="N960" s="1166"/>
      <c r="O960" s="1166"/>
      <c r="P960" s="1166"/>
      <c r="Q960" s="1166"/>
      <c r="R960" s="1166"/>
      <c r="S960" s="1166"/>
      <c r="T960" s="1166"/>
      <c r="U960" s="1166"/>
      <c r="V960" s="1166"/>
      <c r="W960" s="1166"/>
      <c r="X960" s="1166"/>
      <c r="Y960" s="1166"/>
      <c r="Z960" s="1166"/>
      <c r="AA960" s="1166"/>
      <c r="AB960" s="1166"/>
      <c r="AC960" s="729"/>
    </row>
    <row r="961" spans="1:29" ht="22.5" customHeight="1" thickTop="1" thickBot="1" x14ac:dyDescent="0.3">
      <c r="A961" s="425"/>
      <c r="B961" s="505"/>
      <c r="C961" s="505"/>
      <c r="D961" s="505"/>
      <c r="E961" s="505"/>
      <c r="F961" s="505"/>
      <c r="G961" s="505"/>
      <c r="H961" s="505"/>
      <c r="I961" s="505"/>
      <c r="J961" s="505"/>
      <c r="K961" s="609"/>
      <c r="L961" s="1166"/>
      <c r="M961" s="1166"/>
      <c r="N961" s="1166"/>
      <c r="O961" s="1166"/>
      <c r="P961" s="1166"/>
      <c r="Q961" s="1166"/>
      <c r="R961" s="1166"/>
      <c r="S961" s="1166"/>
      <c r="T961" s="1166"/>
      <c r="U961" s="1166"/>
      <c r="V961" s="1166"/>
      <c r="W961" s="1166"/>
      <c r="X961" s="1166"/>
      <c r="Y961" s="1166"/>
      <c r="Z961" s="1166"/>
      <c r="AA961" s="1166"/>
      <c r="AB961" s="1166"/>
      <c r="AC961" s="729"/>
    </row>
    <row r="962" spans="1:29" ht="22.5" customHeight="1" thickTop="1" thickBot="1" x14ac:dyDescent="0.3">
      <c r="A962" s="425"/>
      <c r="B962" s="505"/>
      <c r="C962" s="505"/>
      <c r="D962" s="505"/>
      <c r="E962" s="505"/>
      <c r="F962" s="505"/>
      <c r="G962" s="505"/>
      <c r="H962" s="505"/>
      <c r="I962" s="505"/>
      <c r="J962" s="505"/>
      <c r="K962" s="609"/>
      <c r="L962" s="1166"/>
      <c r="M962" s="1166"/>
      <c r="N962" s="1166"/>
      <c r="O962" s="1166"/>
      <c r="P962" s="1166"/>
      <c r="Q962" s="1166"/>
      <c r="R962" s="1166"/>
      <c r="S962" s="1166"/>
      <c r="T962" s="1166"/>
      <c r="U962" s="1166"/>
      <c r="V962" s="1166"/>
      <c r="W962" s="1166"/>
      <c r="X962" s="1166"/>
      <c r="Y962" s="1166"/>
      <c r="Z962" s="1166"/>
      <c r="AA962" s="1166"/>
      <c r="AB962" s="1166"/>
      <c r="AC962" s="729"/>
    </row>
    <row r="963" spans="1:29" ht="22.5" customHeight="1" thickTop="1" thickBot="1" x14ac:dyDescent="0.3">
      <c r="A963" s="425"/>
      <c r="B963" s="505"/>
      <c r="C963" s="505"/>
      <c r="D963" s="505"/>
      <c r="E963" s="505"/>
      <c r="F963" s="505"/>
      <c r="G963" s="505"/>
      <c r="H963" s="505"/>
      <c r="I963" s="505"/>
      <c r="J963" s="505"/>
      <c r="K963" s="609"/>
      <c r="L963" s="1166"/>
      <c r="M963" s="1166"/>
      <c r="N963" s="1166"/>
      <c r="O963" s="1166"/>
      <c r="P963" s="1166"/>
      <c r="Q963" s="1166"/>
      <c r="R963" s="1166"/>
      <c r="S963" s="1166"/>
      <c r="T963" s="1166"/>
      <c r="U963" s="1166"/>
      <c r="V963" s="1166"/>
      <c r="W963" s="1166"/>
      <c r="X963" s="1166"/>
      <c r="Y963" s="1166"/>
      <c r="Z963" s="1166"/>
      <c r="AA963" s="1166"/>
      <c r="AB963" s="1166"/>
      <c r="AC963" s="729"/>
    </row>
    <row r="964" spans="1:29" ht="22.5" customHeight="1" thickTop="1" thickBot="1" x14ac:dyDescent="0.3">
      <c r="A964" s="425"/>
      <c r="B964" s="505"/>
      <c r="C964" s="505"/>
      <c r="D964" s="505"/>
      <c r="E964" s="505"/>
      <c r="F964" s="505"/>
      <c r="G964" s="505"/>
      <c r="H964" s="505"/>
      <c r="I964" s="505"/>
      <c r="J964" s="505"/>
      <c r="K964" s="609"/>
      <c r="L964" s="1166"/>
      <c r="M964" s="1166"/>
      <c r="N964" s="1166"/>
      <c r="O964" s="1166"/>
      <c r="P964" s="1166"/>
      <c r="Q964" s="1166"/>
      <c r="R964" s="1166"/>
      <c r="S964" s="1166"/>
      <c r="T964" s="1166"/>
      <c r="U964" s="1166"/>
      <c r="V964" s="1166"/>
      <c r="W964" s="1166"/>
      <c r="X964" s="1166"/>
      <c r="Y964" s="1166"/>
      <c r="Z964" s="1166"/>
      <c r="AA964" s="1166"/>
      <c r="AB964" s="1166"/>
      <c r="AC964" s="729"/>
    </row>
    <row r="965" spans="1:29" ht="22.5" customHeight="1" thickTop="1" thickBot="1" x14ac:dyDescent="0.3">
      <c r="A965" s="425"/>
      <c r="B965" s="505"/>
      <c r="C965" s="505"/>
      <c r="D965" s="505"/>
      <c r="E965" s="505"/>
      <c r="F965" s="505"/>
      <c r="G965" s="505"/>
      <c r="H965" s="505"/>
      <c r="I965" s="505"/>
      <c r="J965" s="505"/>
      <c r="K965" s="609"/>
      <c r="L965" s="1166"/>
      <c r="M965" s="1166"/>
      <c r="N965" s="1166"/>
      <c r="O965" s="1166"/>
      <c r="P965" s="1166"/>
      <c r="Q965" s="1166"/>
      <c r="R965" s="1166"/>
      <c r="S965" s="1166"/>
      <c r="T965" s="1166"/>
      <c r="U965" s="1166"/>
      <c r="V965" s="1166"/>
      <c r="W965" s="1166"/>
      <c r="X965" s="1166"/>
      <c r="Y965" s="1166"/>
      <c r="Z965" s="1166"/>
      <c r="AA965" s="1166"/>
      <c r="AB965" s="1166"/>
      <c r="AC965" s="729"/>
    </row>
    <row r="966" spans="1:29" ht="22.5" customHeight="1" thickTop="1" thickBot="1" x14ac:dyDescent="0.3">
      <c r="A966" s="425"/>
      <c r="B966" s="505"/>
      <c r="C966" s="505"/>
      <c r="D966" s="505"/>
      <c r="E966" s="505"/>
      <c r="F966" s="505"/>
      <c r="G966" s="505"/>
      <c r="H966" s="505"/>
      <c r="I966" s="505"/>
      <c r="J966" s="505"/>
      <c r="K966" s="609"/>
      <c r="L966" s="1166"/>
      <c r="M966" s="1166"/>
      <c r="N966" s="1166"/>
      <c r="O966" s="1166"/>
      <c r="P966" s="1166"/>
      <c r="Q966" s="1166"/>
      <c r="R966" s="1166"/>
      <c r="S966" s="1166"/>
      <c r="T966" s="1166"/>
      <c r="U966" s="1166"/>
      <c r="V966" s="1166"/>
      <c r="W966" s="1166"/>
      <c r="X966" s="1166"/>
      <c r="Y966" s="1166"/>
      <c r="Z966" s="1166"/>
      <c r="AA966" s="1166"/>
      <c r="AB966" s="1166"/>
      <c r="AC966" s="729"/>
    </row>
    <row r="967" spans="1:29" ht="22.5" customHeight="1" thickTop="1" thickBot="1" x14ac:dyDescent="0.3">
      <c r="A967" s="425"/>
      <c r="B967" s="505"/>
      <c r="C967" s="505"/>
      <c r="D967" s="505"/>
      <c r="E967" s="505"/>
      <c r="F967" s="505"/>
      <c r="G967" s="505"/>
      <c r="H967" s="505"/>
      <c r="I967" s="505"/>
      <c r="J967" s="505"/>
      <c r="K967" s="609"/>
      <c r="L967" s="1166"/>
      <c r="M967" s="1166"/>
      <c r="N967" s="1166"/>
      <c r="O967" s="1166"/>
      <c r="P967" s="1166"/>
      <c r="Q967" s="1166"/>
      <c r="R967" s="1166"/>
      <c r="S967" s="1166"/>
      <c r="T967" s="1166"/>
      <c r="U967" s="1166"/>
      <c r="V967" s="1166"/>
      <c r="W967" s="1166"/>
      <c r="X967" s="1166"/>
      <c r="Y967" s="1166"/>
      <c r="Z967" s="1166"/>
      <c r="AA967" s="1166"/>
      <c r="AB967" s="1166"/>
      <c r="AC967" s="729"/>
    </row>
    <row r="968" spans="1:29" ht="22.5" customHeight="1" thickTop="1" thickBot="1" x14ac:dyDescent="0.3">
      <c r="A968" s="425"/>
      <c r="B968" s="505"/>
      <c r="C968" s="505"/>
      <c r="D968" s="505"/>
      <c r="E968" s="505"/>
      <c r="F968" s="505"/>
      <c r="G968" s="505"/>
      <c r="H968" s="505"/>
      <c r="I968" s="505"/>
      <c r="J968" s="505"/>
      <c r="K968" s="609"/>
      <c r="L968" s="1166"/>
      <c r="M968" s="1166"/>
      <c r="N968" s="1166"/>
      <c r="O968" s="1166"/>
      <c r="P968" s="1166"/>
      <c r="Q968" s="1166"/>
      <c r="R968" s="1166"/>
      <c r="S968" s="1166"/>
      <c r="T968" s="1166"/>
      <c r="U968" s="1166"/>
      <c r="V968" s="1166"/>
      <c r="W968" s="1166"/>
      <c r="X968" s="1166"/>
      <c r="Y968" s="1166"/>
      <c r="Z968" s="1166"/>
      <c r="AA968" s="1166"/>
      <c r="AB968" s="1166"/>
      <c r="AC968" s="729"/>
    </row>
    <row r="969" spans="1:29" ht="22.5" customHeight="1" thickTop="1" thickBot="1" x14ac:dyDescent="0.3">
      <c r="A969" s="425"/>
      <c r="B969" s="505"/>
      <c r="C969" s="505"/>
      <c r="D969" s="505"/>
      <c r="E969" s="505"/>
      <c r="F969" s="505"/>
      <c r="G969" s="505"/>
      <c r="H969" s="505"/>
      <c r="I969" s="505"/>
      <c r="J969" s="505"/>
      <c r="K969" s="609"/>
      <c r="L969" s="1166"/>
      <c r="M969" s="1166"/>
      <c r="N969" s="1166"/>
      <c r="O969" s="1166"/>
      <c r="P969" s="1166"/>
      <c r="Q969" s="1166"/>
      <c r="R969" s="1166"/>
      <c r="S969" s="1166"/>
      <c r="T969" s="1166"/>
      <c r="U969" s="1166"/>
      <c r="V969" s="1166"/>
      <c r="W969" s="1166"/>
      <c r="X969" s="1166"/>
      <c r="Y969" s="1166"/>
      <c r="Z969" s="1166"/>
      <c r="AA969" s="1166"/>
      <c r="AB969" s="1166"/>
      <c r="AC969" s="729"/>
    </row>
    <row r="970" spans="1:29" ht="22.5" customHeight="1" thickTop="1" thickBot="1" x14ac:dyDescent="0.3">
      <c r="A970" s="425"/>
      <c r="B970" s="505"/>
      <c r="C970" s="505"/>
      <c r="D970" s="505"/>
      <c r="E970" s="505"/>
      <c r="F970" s="505"/>
      <c r="G970" s="505"/>
      <c r="H970" s="505"/>
      <c r="I970" s="505"/>
      <c r="J970" s="505"/>
      <c r="K970" s="609"/>
      <c r="L970" s="1166"/>
      <c r="M970" s="1166"/>
      <c r="N970" s="1166"/>
      <c r="O970" s="1166"/>
      <c r="P970" s="1166"/>
      <c r="Q970" s="1166"/>
      <c r="R970" s="1166"/>
      <c r="S970" s="1166"/>
      <c r="T970" s="1166"/>
      <c r="U970" s="1166"/>
      <c r="V970" s="1166"/>
      <c r="W970" s="1166"/>
      <c r="X970" s="1166"/>
      <c r="Y970" s="1166"/>
      <c r="Z970" s="1166"/>
      <c r="AA970" s="1166"/>
      <c r="AB970" s="1166"/>
      <c r="AC970" s="729"/>
    </row>
    <row r="971" spans="1:29" ht="22.5" customHeight="1" thickTop="1" thickBot="1" x14ac:dyDescent="0.3">
      <c r="A971" s="425"/>
      <c r="B971" s="505"/>
      <c r="C971" s="505"/>
      <c r="D971" s="505"/>
      <c r="E971" s="505"/>
      <c r="F971" s="505"/>
      <c r="G971" s="505"/>
      <c r="H971" s="505"/>
      <c r="I971" s="505"/>
      <c r="J971" s="505"/>
      <c r="K971" s="609"/>
      <c r="L971" s="1166"/>
      <c r="M971" s="1166"/>
      <c r="N971" s="1166"/>
      <c r="O971" s="1166"/>
      <c r="P971" s="1166"/>
      <c r="Q971" s="1166"/>
      <c r="R971" s="1166"/>
      <c r="S971" s="1166"/>
      <c r="T971" s="1166"/>
      <c r="U971" s="1166"/>
      <c r="V971" s="1166"/>
      <c r="W971" s="1166"/>
      <c r="X971" s="1166"/>
      <c r="Y971" s="1166"/>
      <c r="Z971" s="1166"/>
      <c r="AA971" s="1166"/>
      <c r="AB971" s="1166"/>
      <c r="AC971" s="729"/>
    </row>
    <row r="972" spans="1:29" ht="22.5" customHeight="1" thickTop="1" thickBot="1" x14ac:dyDescent="0.3">
      <c r="A972" s="425"/>
      <c r="B972" s="505"/>
      <c r="C972" s="505"/>
      <c r="D972" s="505"/>
      <c r="E972" s="505"/>
      <c r="F972" s="505"/>
      <c r="G972" s="505"/>
      <c r="H972" s="505"/>
      <c r="I972" s="505"/>
      <c r="J972" s="505"/>
      <c r="K972" s="609"/>
      <c r="L972" s="1166"/>
      <c r="M972" s="1166"/>
      <c r="N972" s="1166"/>
      <c r="O972" s="1166"/>
      <c r="P972" s="1166"/>
      <c r="Q972" s="1166"/>
      <c r="R972" s="1166"/>
      <c r="S972" s="1166"/>
      <c r="T972" s="1166"/>
      <c r="U972" s="1166"/>
      <c r="V972" s="1166"/>
      <c r="W972" s="1166"/>
      <c r="X972" s="1166"/>
      <c r="Y972" s="1166"/>
      <c r="Z972" s="1166"/>
      <c r="AA972" s="1166"/>
      <c r="AB972" s="1166"/>
      <c r="AC972" s="729"/>
    </row>
    <row r="973" spans="1:29" ht="22.5" customHeight="1" thickTop="1" thickBot="1" x14ac:dyDescent="0.3">
      <c r="A973" s="425"/>
      <c r="B973" s="505"/>
      <c r="C973" s="505"/>
      <c r="D973" s="505"/>
      <c r="E973" s="505"/>
      <c r="F973" s="505"/>
      <c r="G973" s="505"/>
      <c r="H973" s="505"/>
      <c r="I973" s="505"/>
      <c r="J973" s="505"/>
      <c r="K973" s="609"/>
      <c r="L973" s="1166"/>
      <c r="M973" s="1166"/>
      <c r="N973" s="1166"/>
      <c r="O973" s="1166"/>
      <c r="P973" s="1166"/>
      <c r="Q973" s="1166"/>
      <c r="R973" s="1166"/>
      <c r="S973" s="1166"/>
      <c r="T973" s="1166"/>
      <c r="U973" s="1166"/>
      <c r="V973" s="1166"/>
      <c r="W973" s="1166"/>
      <c r="X973" s="1166"/>
      <c r="Y973" s="1166"/>
      <c r="Z973" s="1166"/>
      <c r="AA973" s="1166"/>
      <c r="AB973" s="1166"/>
      <c r="AC973" s="729"/>
    </row>
    <row r="974" spans="1:29" ht="22.5" customHeight="1" thickTop="1" thickBot="1" x14ac:dyDescent="0.3">
      <c r="A974" s="425"/>
      <c r="B974" s="505"/>
      <c r="C974" s="505"/>
      <c r="D974" s="505"/>
      <c r="E974" s="505"/>
      <c r="F974" s="505"/>
      <c r="G974" s="505"/>
      <c r="H974" s="505"/>
      <c r="I974" s="505"/>
      <c r="J974" s="505"/>
      <c r="K974" s="609"/>
      <c r="L974" s="1166"/>
      <c r="M974" s="1166"/>
      <c r="N974" s="1166"/>
      <c r="O974" s="1166"/>
      <c r="P974" s="1166"/>
      <c r="Q974" s="1166"/>
      <c r="R974" s="1166"/>
      <c r="S974" s="1166"/>
      <c r="T974" s="1166"/>
      <c r="U974" s="1166"/>
      <c r="V974" s="1166"/>
      <c r="W974" s="1166"/>
      <c r="X974" s="1166"/>
      <c r="Y974" s="1166"/>
      <c r="Z974" s="1166"/>
      <c r="AA974" s="1166"/>
      <c r="AB974" s="1166"/>
      <c r="AC974" s="729"/>
    </row>
    <row r="975" spans="1:29" ht="22.5" customHeight="1" thickTop="1" thickBot="1" x14ac:dyDescent="0.3">
      <c r="A975" s="425"/>
      <c r="B975" s="505"/>
      <c r="C975" s="505"/>
      <c r="D975" s="505"/>
      <c r="E975" s="505"/>
      <c r="F975" s="505"/>
      <c r="G975" s="505"/>
      <c r="H975" s="505"/>
      <c r="I975" s="505"/>
      <c r="J975" s="505"/>
      <c r="K975" s="609"/>
      <c r="L975" s="1166"/>
      <c r="M975" s="1166"/>
      <c r="N975" s="1166"/>
      <c r="O975" s="1166"/>
      <c r="P975" s="1166"/>
      <c r="Q975" s="1166"/>
      <c r="R975" s="1166"/>
      <c r="S975" s="1166"/>
      <c r="T975" s="1166"/>
      <c r="U975" s="1166"/>
      <c r="V975" s="1166"/>
      <c r="W975" s="1166"/>
      <c r="X975" s="1166"/>
      <c r="Y975" s="1166"/>
      <c r="Z975" s="1166"/>
      <c r="AA975" s="1166"/>
      <c r="AB975" s="1166"/>
      <c r="AC975" s="729"/>
    </row>
    <row r="976" spans="1:29" ht="22.5" customHeight="1" thickTop="1" thickBot="1" x14ac:dyDescent="0.3">
      <c r="A976" s="425"/>
      <c r="B976" s="505"/>
      <c r="C976" s="505"/>
      <c r="D976" s="505"/>
      <c r="E976" s="505"/>
      <c r="F976" s="505"/>
      <c r="G976" s="505"/>
      <c r="H976" s="505"/>
      <c r="I976" s="505"/>
      <c r="J976" s="505"/>
      <c r="K976" s="609"/>
      <c r="L976" s="1166"/>
      <c r="M976" s="1166"/>
      <c r="N976" s="1166"/>
      <c r="O976" s="1166"/>
      <c r="P976" s="1166"/>
      <c r="Q976" s="1166"/>
      <c r="R976" s="1166"/>
      <c r="S976" s="1166"/>
      <c r="T976" s="1166"/>
      <c r="U976" s="1166"/>
      <c r="V976" s="1166"/>
      <c r="W976" s="1166"/>
      <c r="X976" s="1166"/>
      <c r="Y976" s="1166"/>
      <c r="Z976" s="1166"/>
      <c r="AA976" s="1166"/>
      <c r="AB976" s="1166"/>
      <c r="AC976" s="729"/>
    </row>
    <row r="977" spans="1:29" ht="22.5" customHeight="1" thickTop="1" thickBot="1" x14ac:dyDescent="0.3">
      <c r="A977" s="425"/>
      <c r="B977" s="505"/>
      <c r="C977" s="505"/>
      <c r="D977" s="505"/>
      <c r="E977" s="505"/>
      <c r="F977" s="505"/>
      <c r="G977" s="505"/>
      <c r="H977" s="505"/>
      <c r="I977" s="505"/>
      <c r="J977" s="505"/>
      <c r="K977" s="609"/>
      <c r="L977" s="1166"/>
      <c r="M977" s="1166"/>
      <c r="N977" s="1166"/>
      <c r="O977" s="1166"/>
      <c r="P977" s="1166"/>
      <c r="Q977" s="1166"/>
      <c r="R977" s="1166"/>
      <c r="S977" s="1166"/>
      <c r="T977" s="1166"/>
      <c r="U977" s="1166"/>
      <c r="V977" s="1166"/>
      <c r="W977" s="1166"/>
      <c r="X977" s="1166"/>
      <c r="Y977" s="1166"/>
      <c r="Z977" s="1166"/>
      <c r="AA977" s="1166"/>
      <c r="AB977" s="1166"/>
      <c r="AC977" s="729"/>
    </row>
    <row r="978" spans="1:29" ht="22.5" customHeight="1" thickTop="1" thickBot="1" x14ac:dyDescent="0.3">
      <c r="A978" s="425"/>
      <c r="B978" s="505"/>
      <c r="C978" s="505"/>
      <c r="D978" s="505"/>
      <c r="E978" s="505"/>
      <c r="F978" s="505"/>
      <c r="G978" s="505"/>
      <c r="H978" s="505"/>
      <c r="I978" s="505"/>
      <c r="J978" s="505"/>
      <c r="K978" s="609"/>
      <c r="L978" s="1166"/>
      <c r="M978" s="1166"/>
      <c r="N978" s="1166"/>
      <c r="O978" s="1166"/>
      <c r="P978" s="1166"/>
      <c r="Q978" s="1166"/>
      <c r="R978" s="1166"/>
      <c r="S978" s="1166"/>
      <c r="T978" s="1166"/>
      <c r="U978" s="1166"/>
      <c r="V978" s="1166"/>
      <c r="W978" s="1166"/>
      <c r="X978" s="1166"/>
      <c r="Y978" s="1166"/>
      <c r="Z978" s="1166"/>
      <c r="AA978" s="1166"/>
      <c r="AB978" s="1166"/>
      <c r="AC978" s="729"/>
    </row>
    <row r="979" spans="1:29" ht="22.5" customHeight="1" thickTop="1" thickBot="1" x14ac:dyDescent="0.3">
      <c r="A979" s="425"/>
      <c r="B979" s="505"/>
      <c r="C979" s="505"/>
      <c r="D979" s="505"/>
      <c r="E979" s="505"/>
      <c r="F979" s="505"/>
      <c r="G979" s="505"/>
      <c r="H979" s="505"/>
      <c r="I979" s="505"/>
      <c r="J979" s="505"/>
      <c r="K979" s="609"/>
      <c r="L979" s="1166"/>
      <c r="M979" s="1166"/>
      <c r="N979" s="1166"/>
      <c r="O979" s="1166"/>
      <c r="P979" s="1166"/>
      <c r="Q979" s="1166"/>
      <c r="R979" s="1166"/>
      <c r="S979" s="1166"/>
      <c r="T979" s="1166"/>
      <c r="U979" s="1166"/>
      <c r="V979" s="1166"/>
      <c r="W979" s="1166"/>
      <c r="X979" s="1166"/>
      <c r="Y979" s="1166"/>
      <c r="Z979" s="1166"/>
      <c r="AA979" s="1166"/>
      <c r="AB979" s="1166"/>
      <c r="AC979" s="729"/>
    </row>
    <row r="980" spans="1:29" ht="22.5" customHeight="1" thickTop="1" thickBot="1" x14ac:dyDescent="0.3">
      <c r="A980" s="425"/>
      <c r="B980" s="505"/>
      <c r="C980" s="505"/>
      <c r="D980" s="505"/>
      <c r="E980" s="505"/>
      <c r="F980" s="505"/>
      <c r="G980" s="505"/>
      <c r="H980" s="505"/>
      <c r="I980" s="505"/>
      <c r="J980" s="505"/>
      <c r="K980" s="609"/>
      <c r="L980" s="1166"/>
      <c r="M980" s="1166"/>
      <c r="N980" s="1166"/>
      <c r="O980" s="1166"/>
      <c r="P980" s="1166"/>
      <c r="Q980" s="1166"/>
      <c r="R980" s="1166"/>
      <c r="S980" s="1166"/>
      <c r="T980" s="1166"/>
      <c r="U980" s="1166"/>
      <c r="V980" s="1166"/>
      <c r="W980" s="1166"/>
      <c r="X980" s="1166"/>
      <c r="Y980" s="1166"/>
      <c r="Z980" s="1166"/>
      <c r="AA980" s="1166"/>
      <c r="AB980" s="1166"/>
      <c r="AC980" s="729"/>
    </row>
    <row r="981" spans="1:29" ht="22.5" customHeight="1" thickTop="1" thickBot="1" x14ac:dyDescent="0.3">
      <c r="A981" s="425"/>
      <c r="B981" s="505"/>
      <c r="C981" s="505"/>
      <c r="D981" s="505"/>
      <c r="E981" s="505"/>
      <c r="F981" s="505"/>
      <c r="G981" s="505"/>
      <c r="H981" s="505"/>
      <c r="I981" s="505"/>
      <c r="J981" s="505"/>
      <c r="K981" s="609"/>
      <c r="L981" s="1166"/>
      <c r="M981" s="1166"/>
      <c r="N981" s="1166"/>
      <c r="O981" s="1166"/>
      <c r="P981" s="1166"/>
      <c r="Q981" s="1166"/>
      <c r="R981" s="1166"/>
      <c r="S981" s="1166"/>
      <c r="T981" s="1166"/>
      <c r="U981" s="1166"/>
      <c r="V981" s="1166"/>
      <c r="W981" s="1166"/>
      <c r="X981" s="1166"/>
      <c r="Y981" s="1166"/>
      <c r="Z981" s="1166"/>
      <c r="AA981" s="1166"/>
      <c r="AB981" s="1166"/>
      <c r="AC981" s="729"/>
    </row>
    <row r="982" spans="1:29" ht="22.5" customHeight="1" thickTop="1" thickBot="1" x14ac:dyDescent="0.3">
      <c r="A982" s="425"/>
      <c r="B982" s="505"/>
      <c r="C982" s="505"/>
      <c r="D982" s="505"/>
      <c r="E982" s="505"/>
      <c r="F982" s="505"/>
      <c r="G982" s="505"/>
      <c r="H982" s="505"/>
      <c r="I982" s="505"/>
      <c r="J982" s="505"/>
      <c r="K982" s="609"/>
      <c r="L982" s="1166"/>
      <c r="M982" s="1166"/>
      <c r="N982" s="1166"/>
      <c r="O982" s="1166"/>
      <c r="P982" s="1166"/>
      <c r="Q982" s="1166"/>
      <c r="R982" s="1166"/>
      <c r="S982" s="1166"/>
      <c r="T982" s="1166"/>
      <c r="U982" s="1166"/>
      <c r="V982" s="1166"/>
      <c r="W982" s="1166"/>
      <c r="X982" s="1166"/>
      <c r="Y982" s="1166"/>
      <c r="Z982" s="1166"/>
      <c r="AA982" s="1166"/>
      <c r="AB982" s="1166"/>
      <c r="AC982" s="729"/>
    </row>
    <row r="983" spans="1:29" ht="22.5" customHeight="1" thickTop="1" thickBot="1" x14ac:dyDescent="0.3">
      <c r="A983" s="425"/>
      <c r="B983" s="505"/>
      <c r="C983" s="505"/>
      <c r="D983" s="505"/>
      <c r="E983" s="505"/>
      <c r="F983" s="505"/>
      <c r="G983" s="505"/>
      <c r="H983" s="505"/>
      <c r="I983" s="505"/>
      <c r="J983" s="505"/>
      <c r="K983" s="609"/>
      <c r="L983" s="1166"/>
      <c r="M983" s="1166"/>
      <c r="N983" s="1166"/>
      <c r="O983" s="1166"/>
      <c r="P983" s="1166"/>
      <c r="Q983" s="1166"/>
      <c r="R983" s="1166"/>
      <c r="S983" s="1166"/>
      <c r="T983" s="1166"/>
      <c r="U983" s="1166"/>
      <c r="V983" s="1166"/>
      <c r="W983" s="1166"/>
      <c r="X983" s="1166"/>
      <c r="Y983" s="1166"/>
      <c r="Z983" s="1166"/>
      <c r="AA983" s="1166"/>
      <c r="AB983" s="1166"/>
      <c r="AC983" s="729"/>
    </row>
    <row r="984" spans="1:29" ht="22.5" customHeight="1" thickTop="1" thickBot="1" x14ac:dyDescent="0.3">
      <c r="A984" s="425"/>
      <c r="B984" s="505"/>
      <c r="C984" s="505"/>
      <c r="D984" s="505"/>
      <c r="E984" s="505"/>
      <c r="F984" s="505"/>
      <c r="G984" s="505"/>
      <c r="H984" s="505"/>
      <c r="I984" s="505"/>
      <c r="J984" s="505"/>
      <c r="K984" s="609"/>
      <c r="L984" s="1166"/>
      <c r="M984" s="1166"/>
      <c r="N984" s="1166"/>
      <c r="O984" s="1166"/>
      <c r="P984" s="1166"/>
      <c r="Q984" s="1166"/>
      <c r="R984" s="1166"/>
      <c r="S984" s="1166"/>
      <c r="T984" s="1166"/>
      <c r="U984" s="1166"/>
      <c r="V984" s="1166"/>
      <c r="W984" s="1166"/>
      <c r="X984" s="1166"/>
      <c r="Y984" s="1166"/>
      <c r="Z984" s="1166"/>
      <c r="AA984" s="1166"/>
      <c r="AB984" s="1166"/>
      <c r="AC984" s="729"/>
    </row>
    <row r="985" spans="1:29" ht="22.5" customHeight="1" thickTop="1" thickBot="1" x14ac:dyDescent="0.3">
      <c r="A985" s="425"/>
      <c r="B985" s="505"/>
      <c r="C985" s="505"/>
      <c r="D985" s="505"/>
      <c r="E985" s="505"/>
      <c r="F985" s="505"/>
      <c r="G985" s="505"/>
      <c r="H985" s="505"/>
      <c r="I985" s="505"/>
      <c r="J985" s="505"/>
      <c r="K985" s="609"/>
      <c r="L985" s="1166"/>
      <c r="M985" s="1166"/>
      <c r="N985" s="1166"/>
      <c r="O985" s="1166"/>
      <c r="P985" s="1166"/>
      <c r="Q985" s="1166"/>
      <c r="R985" s="1166"/>
      <c r="S985" s="1166"/>
      <c r="T985" s="1166"/>
      <c r="U985" s="1166"/>
      <c r="V985" s="1166"/>
      <c r="W985" s="1166"/>
      <c r="X985" s="1166"/>
      <c r="Y985" s="1166"/>
      <c r="Z985" s="1166"/>
      <c r="AA985" s="1166"/>
      <c r="AB985" s="1166"/>
      <c r="AC985" s="729"/>
    </row>
    <row r="986" spans="1:29" ht="22.5" customHeight="1" thickTop="1" thickBot="1" x14ac:dyDescent="0.3">
      <c r="A986" s="425"/>
      <c r="B986" s="505"/>
      <c r="C986" s="505"/>
      <c r="D986" s="505"/>
      <c r="E986" s="505"/>
      <c r="F986" s="505"/>
      <c r="G986" s="505"/>
      <c r="H986" s="505"/>
      <c r="I986" s="505"/>
      <c r="J986" s="505"/>
      <c r="K986" s="609"/>
      <c r="L986" s="1166"/>
      <c r="M986" s="1166"/>
      <c r="N986" s="1166"/>
      <c r="O986" s="1166"/>
      <c r="P986" s="1166"/>
      <c r="Q986" s="1166"/>
      <c r="R986" s="1166"/>
      <c r="S986" s="1166"/>
      <c r="T986" s="1166"/>
      <c r="U986" s="1166"/>
      <c r="V986" s="1166"/>
      <c r="W986" s="1166"/>
      <c r="X986" s="1166"/>
      <c r="Y986" s="1166"/>
      <c r="Z986" s="1166"/>
      <c r="AA986" s="1166"/>
      <c r="AB986" s="1166"/>
      <c r="AC986" s="729"/>
    </row>
    <row r="987" spans="1:29" ht="22.5" customHeight="1" thickTop="1" thickBot="1" x14ac:dyDescent="0.3">
      <c r="A987" s="425"/>
      <c r="B987" s="505"/>
      <c r="C987" s="505"/>
      <c r="D987" s="505"/>
      <c r="E987" s="505"/>
      <c r="F987" s="505"/>
      <c r="G987" s="505"/>
      <c r="H987" s="505"/>
      <c r="I987" s="505"/>
      <c r="J987" s="505"/>
      <c r="K987" s="609"/>
      <c r="L987" s="1166"/>
      <c r="M987" s="1166"/>
      <c r="N987" s="1166"/>
      <c r="O987" s="1166"/>
      <c r="P987" s="1166"/>
      <c r="Q987" s="1166"/>
      <c r="R987" s="1166"/>
      <c r="S987" s="1166"/>
      <c r="T987" s="1166"/>
      <c r="U987" s="1166"/>
      <c r="V987" s="1166"/>
      <c r="W987" s="1166"/>
      <c r="X987" s="1166"/>
      <c r="Y987" s="1166"/>
      <c r="Z987" s="1166"/>
      <c r="AA987" s="1166"/>
      <c r="AB987" s="1166"/>
      <c r="AC987" s="729"/>
    </row>
    <row r="988" spans="1:29" ht="22.5" customHeight="1" thickTop="1" thickBot="1" x14ac:dyDescent="0.3">
      <c r="A988" s="425"/>
      <c r="B988" s="505"/>
      <c r="C988" s="505"/>
      <c r="D988" s="505"/>
      <c r="E988" s="505"/>
      <c r="F988" s="505"/>
      <c r="G988" s="505"/>
      <c r="H988" s="505"/>
      <c r="I988" s="505"/>
      <c r="J988" s="505"/>
      <c r="K988" s="609"/>
      <c r="L988" s="1166"/>
      <c r="M988" s="1166"/>
      <c r="N988" s="1166"/>
      <c r="O988" s="1166"/>
      <c r="P988" s="1166"/>
      <c r="Q988" s="1166"/>
      <c r="R988" s="1166"/>
      <c r="S988" s="1166"/>
      <c r="T988" s="1166"/>
      <c r="U988" s="1166"/>
      <c r="V988" s="1166"/>
      <c r="W988" s="1166"/>
      <c r="X988" s="1166"/>
      <c r="Y988" s="1166"/>
      <c r="Z988" s="1166"/>
      <c r="AA988" s="1166"/>
      <c r="AB988" s="1166"/>
      <c r="AC988" s="729"/>
    </row>
    <row r="989" spans="1:29" ht="22.5" customHeight="1" thickTop="1" thickBot="1" x14ac:dyDescent="0.3">
      <c r="A989" s="425"/>
      <c r="B989" s="505"/>
      <c r="C989" s="505"/>
      <c r="D989" s="505"/>
      <c r="E989" s="505"/>
      <c r="F989" s="505"/>
      <c r="G989" s="505"/>
      <c r="H989" s="505"/>
      <c r="I989" s="505"/>
      <c r="J989" s="505"/>
      <c r="K989" s="609"/>
      <c r="L989" s="1166"/>
      <c r="M989" s="1166"/>
      <c r="N989" s="1166"/>
      <c r="O989" s="1166"/>
      <c r="P989" s="1166"/>
      <c r="Q989" s="1166"/>
      <c r="R989" s="1166"/>
      <c r="S989" s="1166"/>
      <c r="T989" s="1166"/>
      <c r="U989" s="1166"/>
      <c r="V989" s="1166"/>
      <c r="W989" s="1166"/>
      <c r="X989" s="1166"/>
      <c r="Y989" s="1166"/>
      <c r="Z989" s="1166"/>
      <c r="AA989" s="1166"/>
      <c r="AB989" s="1166"/>
      <c r="AC989" s="729"/>
    </row>
    <row r="990" spans="1:29" ht="22.5" customHeight="1" thickTop="1" thickBot="1" x14ac:dyDescent="0.3">
      <c r="A990" s="425"/>
      <c r="B990" s="505"/>
      <c r="C990" s="505"/>
      <c r="D990" s="505"/>
      <c r="E990" s="505"/>
      <c r="F990" s="505"/>
      <c r="G990" s="505"/>
      <c r="H990" s="505"/>
      <c r="I990" s="505"/>
      <c r="J990" s="505"/>
      <c r="K990" s="609"/>
      <c r="L990" s="1166"/>
      <c r="M990" s="1166"/>
      <c r="N990" s="1166"/>
      <c r="O990" s="1166"/>
      <c r="P990" s="1166"/>
      <c r="Q990" s="1166"/>
      <c r="R990" s="1166"/>
      <c r="S990" s="1166"/>
      <c r="T990" s="1166"/>
      <c r="U990" s="1166"/>
      <c r="V990" s="1166"/>
      <c r="W990" s="1166"/>
      <c r="X990" s="1166"/>
      <c r="Y990" s="1166"/>
      <c r="Z990" s="1166"/>
      <c r="AA990" s="1166"/>
      <c r="AB990" s="1166"/>
      <c r="AC990" s="729"/>
    </row>
    <row r="991" spans="1:29" ht="22.5" customHeight="1" thickTop="1" thickBot="1" x14ac:dyDescent="0.3">
      <c r="A991" s="425"/>
      <c r="B991" s="505"/>
      <c r="C991" s="505"/>
      <c r="D991" s="505"/>
      <c r="E991" s="505"/>
      <c r="F991" s="505"/>
      <c r="G991" s="505"/>
      <c r="H991" s="505"/>
      <c r="I991" s="505"/>
      <c r="J991" s="505"/>
      <c r="K991" s="609"/>
      <c r="L991" s="1166"/>
      <c r="M991" s="1166"/>
      <c r="N991" s="1166"/>
      <c r="O991" s="1166"/>
      <c r="P991" s="1166"/>
      <c r="Q991" s="1166"/>
      <c r="R991" s="1166"/>
      <c r="S991" s="1166"/>
      <c r="T991" s="1166"/>
      <c r="U991" s="1166"/>
      <c r="V991" s="1166"/>
      <c r="W991" s="1166"/>
      <c r="X991" s="1166"/>
      <c r="Y991" s="1166"/>
      <c r="Z991" s="1166"/>
      <c r="AA991" s="1166"/>
      <c r="AB991" s="1166"/>
      <c r="AC991" s="729"/>
    </row>
    <row r="992" spans="1:29" ht="22.5" customHeight="1" thickTop="1" thickBot="1" x14ac:dyDescent="0.3">
      <c r="A992" s="425"/>
      <c r="B992" s="505"/>
      <c r="C992" s="505"/>
      <c r="D992" s="505"/>
      <c r="E992" s="505"/>
      <c r="F992" s="505"/>
      <c r="G992" s="505"/>
      <c r="H992" s="505"/>
      <c r="I992" s="505"/>
      <c r="J992" s="505"/>
      <c r="K992" s="609"/>
      <c r="L992" s="1166"/>
      <c r="M992" s="1166"/>
      <c r="N992" s="1166"/>
      <c r="O992" s="1166"/>
      <c r="P992" s="1166"/>
      <c r="Q992" s="1166"/>
      <c r="R992" s="1166"/>
      <c r="S992" s="1166"/>
      <c r="T992" s="1166"/>
      <c r="U992" s="1166"/>
      <c r="V992" s="1166"/>
      <c r="W992" s="1166"/>
      <c r="X992" s="1166"/>
      <c r="Y992" s="1166"/>
      <c r="Z992" s="1166"/>
      <c r="AA992" s="1166"/>
      <c r="AB992" s="1166"/>
      <c r="AC992" s="729"/>
    </row>
    <row r="993" spans="1:29" ht="22.5" customHeight="1" thickTop="1" thickBot="1" x14ac:dyDescent="0.3">
      <c r="A993" s="425"/>
      <c r="B993" s="505"/>
      <c r="C993" s="505"/>
      <c r="D993" s="505"/>
      <c r="E993" s="505"/>
      <c r="F993" s="505"/>
      <c r="G993" s="505"/>
      <c r="H993" s="505"/>
      <c r="I993" s="505"/>
      <c r="J993" s="505"/>
      <c r="K993" s="609"/>
      <c r="L993" s="1166"/>
      <c r="M993" s="1166"/>
      <c r="N993" s="1166"/>
      <c r="O993" s="1166"/>
      <c r="P993" s="1166"/>
      <c r="Q993" s="1166"/>
      <c r="R993" s="1166"/>
      <c r="S993" s="1166"/>
      <c r="T993" s="1166"/>
      <c r="U993" s="1166"/>
      <c r="V993" s="1166"/>
      <c r="W993" s="1166"/>
      <c r="X993" s="1166"/>
      <c r="Y993" s="1166"/>
      <c r="Z993" s="1166"/>
      <c r="AA993" s="1166"/>
      <c r="AB993" s="1166"/>
      <c r="AC993" s="729"/>
    </row>
    <row r="994" spans="1:29" ht="22.5" customHeight="1" thickTop="1" thickBot="1" x14ac:dyDescent="0.3">
      <c r="A994" s="425"/>
      <c r="B994" s="505"/>
      <c r="C994" s="505"/>
      <c r="D994" s="505"/>
      <c r="E994" s="505"/>
      <c r="F994" s="505"/>
      <c r="G994" s="505"/>
      <c r="H994" s="505"/>
      <c r="I994" s="505"/>
      <c r="J994" s="505"/>
      <c r="K994" s="609"/>
      <c r="L994" s="1166"/>
      <c r="M994" s="1166"/>
      <c r="N994" s="1166"/>
      <c r="O994" s="1166"/>
      <c r="P994" s="1166"/>
      <c r="Q994" s="1166"/>
      <c r="R994" s="1166"/>
      <c r="S994" s="1166"/>
      <c r="T994" s="1166"/>
      <c r="U994" s="1166"/>
      <c r="V994" s="1166"/>
      <c r="W994" s="1166"/>
      <c r="X994" s="1166"/>
      <c r="Y994" s="1166"/>
      <c r="Z994" s="1166"/>
      <c r="AA994" s="1166"/>
      <c r="AB994" s="1166"/>
      <c r="AC994" s="729"/>
    </row>
    <row r="995" spans="1:29" ht="22.5" customHeight="1" thickTop="1" thickBot="1" x14ac:dyDescent="0.3">
      <c r="A995" s="425"/>
      <c r="B995" s="505"/>
      <c r="C995" s="505"/>
      <c r="D995" s="505"/>
      <c r="E995" s="505"/>
      <c r="F995" s="505"/>
      <c r="G995" s="505"/>
      <c r="H995" s="505"/>
      <c r="I995" s="505"/>
      <c r="J995" s="505"/>
      <c r="K995" s="609"/>
      <c r="L995" s="1166"/>
      <c r="M995" s="1166"/>
      <c r="N995" s="1166"/>
      <c r="O995" s="1166"/>
      <c r="P995" s="1166"/>
      <c r="Q995" s="1166"/>
      <c r="R995" s="1166"/>
      <c r="S995" s="1166"/>
      <c r="T995" s="1166"/>
      <c r="U995" s="1166"/>
      <c r="V995" s="1166"/>
      <c r="W995" s="1166"/>
      <c r="X995" s="1166"/>
      <c r="Y995" s="1166"/>
      <c r="Z995" s="1166"/>
      <c r="AA995" s="1166"/>
      <c r="AB995" s="1166"/>
      <c r="AC995" s="729"/>
    </row>
    <row r="996" spans="1:29" ht="22.5" customHeight="1" thickTop="1" thickBot="1" x14ac:dyDescent="0.3">
      <c r="A996" s="425"/>
      <c r="B996" s="505"/>
      <c r="C996" s="505"/>
      <c r="D996" s="505"/>
      <c r="E996" s="505"/>
      <c r="F996" s="505"/>
      <c r="G996" s="505"/>
      <c r="H996" s="505"/>
      <c r="I996" s="505"/>
      <c r="J996" s="505"/>
      <c r="K996" s="609"/>
      <c r="L996" s="1166"/>
      <c r="M996" s="1166"/>
      <c r="N996" s="1166"/>
      <c r="O996" s="1166"/>
      <c r="P996" s="1166"/>
      <c r="Q996" s="1166"/>
      <c r="R996" s="1166"/>
      <c r="S996" s="1166"/>
      <c r="T996" s="1166"/>
      <c r="U996" s="1166"/>
      <c r="V996" s="1166"/>
      <c r="W996" s="1166"/>
      <c r="X996" s="1166"/>
      <c r="Y996" s="1166"/>
      <c r="Z996" s="1166"/>
      <c r="AA996" s="1166"/>
      <c r="AB996" s="1166"/>
      <c r="AC996" s="729"/>
    </row>
    <row r="997" spans="1:29" ht="22.5" customHeight="1" thickTop="1" thickBot="1" x14ac:dyDescent="0.3">
      <c r="A997" s="425"/>
      <c r="B997" s="505"/>
      <c r="C997" s="505"/>
      <c r="D997" s="505"/>
      <c r="E997" s="505"/>
      <c r="F997" s="505"/>
      <c r="G997" s="505"/>
      <c r="H997" s="505"/>
      <c r="I997" s="505"/>
      <c r="J997" s="505"/>
      <c r="K997" s="609"/>
      <c r="L997" s="1166"/>
      <c r="M997" s="1166"/>
      <c r="N997" s="1166"/>
      <c r="O997" s="1166"/>
      <c r="P997" s="1166"/>
      <c r="Q997" s="1166"/>
      <c r="R997" s="1166"/>
      <c r="S997" s="1166"/>
      <c r="T997" s="1166"/>
      <c r="U997" s="1166"/>
      <c r="V997" s="1166"/>
      <c r="W997" s="1166"/>
      <c r="X997" s="1166"/>
      <c r="Y997" s="1166"/>
      <c r="Z997" s="1166"/>
      <c r="AA997" s="1166"/>
      <c r="AB997" s="1166"/>
      <c r="AC997" s="729"/>
    </row>
    <row r="998" spans="1:29" ht="22.5" customHeight="1" thickTop="1" thickBot="1" x14ac:dyDescent="0.3">
      <c r="A998" s="425"/>
      <c r="B998" s="505"/>
      <c r="C998" s="505"/>
      <c r="D998" s="505"/>
      <c r="E998" s="505"/>
      <c r="F998" s="505"/>
      <c r="G998" s="505"/>
      <c r="H998" s="505"/>
      <c r="I998" s="505"/>
      <c r="J998" s="505"/>
      <c r="K998" s="609"/>
      <c r="L998" s="1166"/>
      <c r="M998" s="1166"/>
      <c r="N998" s="1166"/>
      <c r="O998" s="1166"/>
      <c r="P998" s="1166"/>
      <c r="Q998" s="1166"/>
      <c r="R998" s="1166"/>
      <c r="S998" s="1166"/>
      <c r="T998" s="1166"/>
      <c r="U998" s="1166"/>
      <c r="V998" s="1166"/>
      <c r="W998" s="1166"/>
      <c r="X998" s="1166"/>
      <c r="Y998" s="1166"/>
      <c r="Z998" s="1166"/>
      <c r="AA998" s="1166"/>
      <c r="AB998" s="1166"/>
      <c r="AC998" s="729"/>
    </row>
    <row r="999" spans="1:29" ht="22.5" customHeight="1" thickTop="1" thickBot="1" x14ac:dyDescent="0.3">
      <c r="A999" s="425"/>
      <c r="B999" s="505"/>
      <c r="C999" s="505"/>
      <c r="D999" s="505"/>
      <c r="E999" s="505"/>
      <c r="F999" s="505"/>
      <c r="G999" s="505"/>
      <c r="H999" s="505"/>
      <c r="I999" s="505"/>
      <c r="J999" s="505"/>
      <c r="K999" s="609"/>
      <c r="L999" s="1166"/>
      <c r="M999" s="1166"/>
      <c r="N999" s="1166"/>
      <c r="O999" s="1166"/>
      <c r="P999" s="1166"/>
      <c r="Q999" s="1166"/>
      <c r="R999" s="1166"/>
      <c r="S999" s="1166"/>
      <c r="T999" s="1166"/>
      <c r="U999" s="1166"/>
      <c r="V999" s="1166"/>
      <c r="W999" s="1166"/>
      <c r="X999" s="1166"/>
      <c r="Y999" s="1166"/>
      <c r="Z999" s="1166"/>
      <c r="AA999" s="1166"/>
      <c r="AB999" s="1166"/>
      <c r="AC999" s="729"/>
    </row>
    <row r="1000" spans="1:29" ht="22.5" customHeight="1" thickTop="1" thickBot="1" x14ac:dyDescent="0.3">
      <c r="A1000" s="425"/>
      <c r="B1000" s="505"/>
      <c r="C1000" s="505"/>
      <c r="D1000" s="505"/>
      <c r="E1000" s="505"/>
      <c r="F1000" s="505"/>
      <c r="G1000" s="505"/>
      <c r="H1000" s="505"/>
      <c r="I1000" s="505"/>
      <c r="J1000" s="505"/>
      <c r="K1000" s="609"/>
      <c r="L1000" s="1166"/>
      <c r="M1000" s="1166"/>
      <c r="N1000" s="1166"/>
      <c r="O1000" s="1166"/>
      <c r="P1000" s="1166"/>
      <c r="Q1000" s="1166"/>
      <c r="R1000" s="1166"/>
      <c r="S1000" s="1166"/>
      <c r="T1000" s="1166"/>
      <c r="U1000" s="1166"/>
      <c r="V1000" s="1166"/>
      <c r="W1000" s="1166"/>
      <c r="X1000" s="1166"/>
      <c r="Y1000" s="1166"/>
      <c r="Z1000" s="1166"/>
      <c r="AA1000" s="1166"/>
      <c r="AB1000" s="1166"/>
      <c r="AC1000" s="729"/>
    </row>
    <row r="1001" spans="1:29" ht="22.5" customHeight="1" thickTop="1" thickBot="1" x14ac:dyDescent="0.3">
      <c r="A1001" s="425"/>
      <c r="B1001" s="505"/>
      <c r="C1001" s="505"/>
      <c r="D1001" s="505"/>
      <c r="E1001" s="505"/>
      <c r="F1001" s="505"/>
      <c r="G1001" s="505"/>
      <c r="H1001" s="505"/>
      <c r="I1001" s="505"/>
      <c r="J1001" s="505"/>
      <c r="K1001" s="609"/>
      <c r="L1001" s="1166"/>
      <c r="M1001" s="1166"/>
      <c r="N1001" s="1166"/>
      <c r="O1001" s="1166"/>
      <c r="P1001" s="1166"/>
      <c r="Q1001" s="1166"/>
      <c r="R1001" s="1166"/>
      <c r="S1001" s="1166"/>
      <c r="T1001" s="1166"/>
      <c r="U1001" s="1166"/>
      <c r="V1001" s="1166"/>
      <c r="W1001" s="1166"/>
      <c r="X1001" s="1166"/>
      <c r="Y1001" s="1166"/>
      <c r="Z1001" s="1166"/>
      <c r="AA1001" s="1166"/>
      <c r="AB1001" s="1166"/>
      <c r="AC1001" s="729"/>
    </row>
    <row r="1002" spans="1:29" ht="22.5" customHeight="1" thickTop="1" thickBot="1" x14ac:dyDescent="0.3">
      <c r="A1002" s="425"/>
      <c r="B1002" s="505"/>
      <c r="C1002" s="505"/>
      <c r="D1002" s="505"/>
      <c r="E1002" s="505"/>
      <c r="F1002" s="505"/>
      <c r="G1002" s="505"/>
      <c r="H1002" s="505"/>
      <c r="I1002" s="505"/>
      <c r="J1002" s="505"/>
      <c r="K1002" s="609"/>
      <c r="L1002" s="1166"/>
      <c r="M1002" s="1166"/>
      <c r="N1002" s="1166"/>
      <c r="O1002" s="1166"/>
      <c r="P1002" s="1166"/>
      <c r="Q1002" s="1166"/>
      <c r="R1002" s="1166"/>
      <c r="S1002" s="1166"/>
      <c r="T1002" s="1166"/>
      <c r="U1002" s="1166"/>
      <c r="V1002" s="1166"/>
      <c r="W1002" s="1166"/>
      <c r="X1002" s="1166"/>
      <c r="Y1002" s="1166"/>
      <c r="Z1002" s="1166"/>
      <c r="AA1002" s="1166"/>
      <c r="AB1002" s="1166"/>
      <c r="AC1002" s="729"/>
    </row>
    <row r="1003" spans="1:29" ht="22.5" customHeight="1" thickTop="1" thickBot="1" x14ac:dyDescent="0.3">
      <c r="A1003" s="425"/>
      <c r="B1003" s="505"/>
      <c r="C1003" s="505"/>
      <c r="D1003" s="505"/>
      <c r="E1003" s="505"/>
      <c r="F1003" s="505"/>
      <c r="G1003" s="505"/>
      <c r="H1003" s="505"/>
      <c r="I1003" s="505"/>
      <c r="J1003" s="505"/>
      <c r="K1003" s="609"/>
      <c r="L1003" s="1166"/>
      <c r="M1003" s="1166"/>
      <c r="N1003" s="1166"/>
      <c r="O1003" s="1166"/>
      <c r="P1003" s="1166"/>
      <c r="Q1003" s="1166"/>
      <c r="R1003" s="1166"/>
      <c r="S1003" s="1166"/>
      <c r="T1003" s="1166"/>
      <c r="U1003" s="1166"/>
      <c r="V1003" s="1166"/>
      <c r="W1003" s="1166"/>
      <c r="X1003" s="1166"/>
      <c r="Y1003" s="1166"/>
      <c r="Z1003" s="1166"/>
      <c r="AA1003" s="1166"/>
      <c r="AB1003" s="1166"/>
      <c r="AC1003" s="729"/>
    </row>
    <row r="1004" spans="1:29" ht="22.5" customHeight="1" thickTop="1" thickBot="1" x14ac:dyDescent="0.3">
      <c r="A1004" s="425"/>
      <c r="B1004" s="505"/>
      <c r="C1004" s="505"/>
      <c r="D1004" s="505"/>
      <c r="E1004" s="505"/>
      <c r="F1004" s="505"/>
      <c r="G1004" s="505"/>
      <c r="H1004" s="505"/>
      <c r="I1004" s="505"/>
      <c r="J1004" s="505"/>
      <c r="K1004" s="609"/>
      <c r="L1004" s="1166"/>
      <c r="M1004" s="1166"/>
      <c r="N1004" s="1166"/>
      <c r="O1004" s="1166"/>
      <c r="P1004" s="1166"/>
      <c r="Q1004" s="1166"/>
      <c r="R1004" s="1166"/>
      <c r="S1004" s="1166"/>
      <c r="T1004" s="1166"/>
      <c r="U1004" s="1166"/>
      <c r="V1004" s="1166"/>
      <c r="W1004" s="1166"/>
      <c r="X1004" s="1166"/>
      <c r="Y1004" s="1166"/>
      <c r="Z1004" s="1166"/>
      <c r="AA1004" s="1166"/>
      <c r="AB1004" s="1166"/>
      <c r="AC1004" s="729"/>
    </row>
    <row r="1005" spans="1:29" ht="22.5" customHeight="1" thickTop="1" thickBot="1" x14ac:dyDescent="0.3">
      <c r="A1005" s="425"/>
      <c r="B1005" s="505"/>
      <c r="C1005" s="505"/>
      <c r="D1005" s="505"/>
      <c r="E1005" s="505"/>
      <c r="F1005" s="505"/>
      <c r="G1005" s="505"/>
      <c r="H1005" s="505"/>
      <c r="I1005" s="505"/>
      <c r="J1005" s="505"/>
      <c r="K1005" s="609"/>
      <c r="L1005" s="1166"/>
      <c r="M1005" s="1166"/>
      <c r="N1005" s="1166"/>
      <c r="O1005" s="1166"/>
      <c r="P1005" s="1166"/>
      <c r="Q1005" s="1166"/>
      <c r="R1005" s="1166"/>
      <c r="S1005" s="1166"/>
      <c r="T1005" s="1166"/>
      <c r="U1005" s="1166"/>
      <c r="V1005" s="1166"/>
      <c r="W1005" s="1166"/>
      <c r="X1005" s="1166"/>
      <c r="Y1005" s="1166"/>
      <c r="Z1005" s="1166"/>
      <c r="AA1005" s="1166"/>
      <c r="AB1005" s="1166"/>
      <c r="AC1005" s="729"/>
    </row>
    <row r="1006" spans="1:29" ht="22.5" customHeight="1" thickTop="1" thickBot="1" x14ac:dyDescent="0.3">
      <c r="A1006" s="425"/>
      <c r="B1006" s="505"/>
      <c r="C1006" s="505"/>
      <c r="D1006" s="505"/>
      <c r="E1006" s="505"/>
      <c r="F1006" s="505"/>
      <c r="G1006" s="505"/>
      <c r="H1006" s="505"/>
      <c r="I1006" s="505"/>
      <c r="J1006" s="505"/>
      <c r="K1006" s="609"/>
      <c r="L1006" s="1166"/>
      <c r="M1006" s="1166"/>
      <c r="N1006" s="1166"/>
      <c r="O1006" s="1166"/>
      <c r="P1006" s="1166"/>
      <c r="Q1006" s="1166"/>
      <c r="R1006" s="1166"/>
      <c r="S1006" s="1166"/>
      <c r="T1006" s="1166"/>
      <c r="U1006" s="1166"/>
      <c r="V1006" s="1166"/>
      <c r="W1006" s="1166"/>
      <c r="X1006" s="1166"/>
      <c r="Y1006" s="1166"/>
      <c r="Z1006" s="1166"/>
      <c r="AA1006" s="1166"/>
      <c r="AB1006" s="1166"/>
      <c r="AC1006" s="729"/>
    </row>
    <row r="1007" spans="1:29" ht="22.5" customHeight="1" thickTop="1" thickBot="1" x14ac:dyDescent="0.3">
      <c r="A1007" s="425"/>
      <c r="B1007" s="505"/>
      <c r="C1007" s="505"/>
      <c r="D1007" s="505"/>
      <c r="E1007" s="505"/>
      <c r="F1007" s="505"/>
      <c r="G1007" s="505"/>
      <c r="H1007" s="505"/>
      <c r="I1007" s="505"/>
      <c r="J1007" s="505"/>
      <c r="K1007" s="609"/>
      <c r="L1007" s="1166"/>
      <c r="M1007" s="1166"/>
      <c r="N1007" s="1166"/>
      <c r="O1007" s="1166"/>
      <c r="P1007" s="1166"/>
      <c r="Q1007" s="1166"/>
      <c r="R1007" s="1166"/>
      <c r="S1007" s="1166"/>
      <c r="T1007" s="1166"/>
      <c r="U1007" s="1166"/>
      <c r="V1007" s="1166"/>
      <c r="W1007" s="1166"/>
      <c r="X1007" s="1166"/>
      <c r="Y1007" s="1166"/>
      <c r="Z1007" s="1166"/>
      <c r="AA1007" s="1166"/>
      <c r="AB1007" s="1166"/>
      <c r="AC1007" s="729"/>
    </row>
    <row r="1008" spans="1:29" ht="22.5" customHeight="1" thickTop="1" thickBot="1" x14ac:dyDescent="0.3">
      <c r="A1008" s="425"/>
      <c r="B1008" s="505"/>
      <c r="C1008" s="505"/>
      <c r="D1008" s="505"/>
      <c r="E1008" s="505"/>
      <c r="F1008" s="505"/>
      <c r="G1008" s="505"/>
      <c r="H1008" s="505"/>
      <c r="I1008" s="505"/>
      <c r="J1008" s="505"/>
      <c r="K1008" s="609"/>
      <c r="L1008" s="1166"/>
      <c r="M1008" s="1166"/>
      <c r="N1008" s="1166"/>
      <c r="O1008" s="1166"/>
      <c r="P1008" s="1166"/>
      <c r="Q1008" s="1166"/>
      <c r="R1008" s="1166"/>
      <c r="S1008" s="1166"/>
      <c r="T1008" s="1166"/>
      <c r="U1008" s="1166"/>
      <c r="V1008" s="1166"/>
      <c r="W1008" s="1166"/>
      <c r="X1008" s="1166"/>
      <c r="Y1008" s="1166"/>
      <c r="Z1008" s="1166"/>
      <c r="AA1008" s="1166"/>
      <c r="AB1008" s="1166"/>
      <c r="AC1008" s="729"/>
    </row>
    <row r="1009" spans="1:29" ht="22.5" customHeight="1" thickTop="1" thickBot="1" x14ac:dyDescent="0.3">
      <c r="A1009" s="425"/>
      <c r="B1009" s="505"/>
      <c r="C1009" s="505"/>
      <c r="D1009" s="505"/>
      <c r="E1009" s="505"/>
      <c r="F1009" s="505"/>
      <c r="G1009" s="505"/>
      <c r="H1009" s="505"/>
      <c r="I1009" s="505"/>
      <c r="J1009" s="505"/>
      <c r="K1009" s="609"/>
      <c r="L1009" s="1166"/>
      <c r="M1009" s="1166"/>
      <c r="N1009" s="1166"/>
      <c r="O1009" s="1166"/>
      <c r="P1009" s="1166"/>
      <c r="Q1009" s="1166"/>
      <c r="R1009" s="1166"/>
      <c r="S1009" s="1166"/>
      <c r="T1009" s="1166"/>
      <c r="U1009" s="1166"/>
      <c r="V1009" s="1166"/>
      <c r="W1009" s="1166"/>
      <c r="X1009" s="1166"/>
      <c r="Y1009" s="1166"/>
      <c r="Z1009" s="1166"/>
      <c r="AA1009" s="1166"/>
      <c r="AB1009" s="1166"/>
      <c r="AC1009" s="729"/>
    </row>
    <row r="1010" spans="1:29" ht="22.5" customHeight="1" thickTop="1" thickBot="1" x14ac:dyDescent="0.3">
      <c r="A1010" s="425"/>
      <c r="B1010" s="505"/>
      <c r="C1010" s="505"/>
      <c r="D1010" s="505"/>
      <c r="E1010" s="505"/>
      <c r="F1010" s="505"/>
      <c r="G1010" s="505"/>
      <c r="H1010" s="505"/>
      <c r="I1010" s="505"/>
      <c r="J1010" s="505"/>
      <c r="K1010" s="609"/>
      <c r="L1010" s="1166"/>
      <c r="M1010" s="1166"/>
      <c r="N1010" s="1166"/>
      <c r="O1010" s="1166"/>
      <c r="P1010" s="1166"/>
      <c r="Q1010" s="1166"/>
      <c r="R1010" s="1166"/>
      <c r="S1010" s="1166"/>
      <c r="T1010" s="1166"/>
      <c r="U1010" s="1166"/>
      <c r="V1010" s="1166"/>
      <c r="W1010" s="1166"/>
      <c r="X1010" s="1166"/>
      <c r="Y1010" s="1166"/>
      <c r="Z1010" s="1166"/>
      <c r="AA1010" s="1166"/>
      <c r="AB1010" s="1166"/>
      <c r="AC1010" s="729"/>
    </row>
    <row r="1011" spans="1:29" ht="22.5" customHeight="1" thickTop="1" thickBot="1" x14ac:dyDescent="0.3">
      <c r="A1011" s="425"/>
      <c r="B1011" s="505"/>
      <c r="C1011" s="505"/>
      <c r="D1011" s="505"/>
      <c r="E1011" s="505"/>
      <c r="F1011" s="505"/>
      <c r="G1011" s="505"/>
      <c r="H1011" s="505"/>
      <c r="I1011" s="505"/>
      <c r="J1011" s="505"/>
      <c r="K1011" s="609"/>
      <c r="L1011" s="1166"/>
      <c r="M1011" s="1166"/>
      <c r="N1011" s="1166"/>
      <c r="O1011" s="1166"/>
      <c r="P1011" s="1166"/>
      <c r="Q1011" s="1166"/>
      <c r="R1011" s="1166"/>
      <c r="S1011" s="1166"/>
      <c r="T1011" s="1166"/>
      <c r="U1011" s="1166"/>
      <c r="V1011" s="1166"/>
      <c r="W1011" s="1166"/>
      <c r="X1011" s="1166"/>
      <c r="Y1011" s="1166"/>
      <c r="Z1011" s="1166"/>
      <c r="AA1011" s="1166"/>
      <c r="AB1011" s="1166"/>
      <c r="AC1011" s="729"/>
    </row>
    <row r="1012" spans="1:29" ht="22.5" customHeight="1" thickTop="1" thickBot="1" x14ac:dyDescent="0.3">
      <c r="A1012" s="425"/>
      <c r="B1012" s="505"/>
      <c r="C1012" s="505"/>
      <c r="D1012" s="505"/>
      <c r="E1012" s="505"/>
      <c r="F1012" s="505"/>
      <c r="G1012" s="505"/>
      <c r="H1012" s="505"/>
      <c r="I1012" s="505"/>
      <c r="J1012" s="505"/>
      <c r="K1012" s="609"/>
      <c r="L1012" s="1166"/>
      <c r="M1012" s="1166"/>
      <c r="N1012" s="1166"/>
      <c r="O1012" s="1166"/>
      <c r="P1012" s="1166"/>
      <c r="Q1012" s="1166"/>
      <c r="R1012" s="1166"/>
      <c r="S1012" s="1166"/>
      <c r="T1012" s="1166"/>
      <c r="U1012" s="1166"/>
      <c r="V1012" s="1166"/>
      <c r="W1012" s="1166"/>
      <c r="X1012" s="1166"/>
      <c r="Y1012" s="1166"/>
      <c r="Z1012" s="1166"/>
      <c r="AA1012" s="1166"/>
      <c r="AB1012" s="1166"/>
      <c r="AC1012" s="729"/>
    </row>
    <row r="1013" spans="1:29" ht="22.5" customHeight="1" thickTop="1" thickBot="1" x14ac:dyDescent="0.3">
      <c r="A1013" s="425"/>
      <c r="B1013" s="505"/>
      <c r="C1013" s="505"/>
      <c r="D1013" s="505"/>
      <c r="E1013" s="505"/>
      <c r="F1013" s="505"/>
      <c r="G1013" s="505"/>
      <c r="H1013" s="505"/>
      <c r="I1013" s="505"/>
      <c r="J1013" s="505"/>
      <c r="K1013" s="609"/>
      <c r="L1013" s="1166"/>
      <c r="M1013" s="1166"/>
      <c r="N1013" s="1166"/>
      <c r="O1013" s="1166"/>
      <c r="P1013" s="1166"/>
      <c r="Q1013" s="1166"/>
      <c r="R1013" s="1166"/>
      <c r="S1013" s="1166"/>
      <c r="T1013" s="1166"/>
      <c r="U1013" s="1166"/>
      <c r="V1013" s="1166"/>
      <c r="W1013" s="1166"/>
      <c r="X1013" s="1166"/>
      <c r="Y1013" s="1166"/>
      <c r="Z1013" s="1166"/>
      <c r="AA1013" s="1166"/>
      <c r="AB1013" s="1166"/>
      <c r="AC1013" s="729"/>
    </row>
    <row r="1014" spans="1:29" ht="22.5" customHeight="1" thickTop="1" thickBot="1" x14ac:dyDescent="0.3">
      <c r="A1014" s="425"/>
      <c r="B1014" s="505"/>
      <c r="C1014" s="505"/>
      <c r="D1014" s="505"/>
      <c r="E1014" s="505"/>
      <c r="F1014" s="505"/>
      <c r="G1014" s="505"/>
      <c r="H1014" s="505"/>
      <c r="I1014" s="505"/>
      <c r="J1014" s="505"/>
      <c r="K1014" s="609"/>
      <c r="L1014" s="1166"/>
      <c r="M1014" s="1166"/>
      <c r="N1014" s="1166"/>
      <c r="O1014" s="1166"/>
      <c r="P1014" s="1166"/>
      <c r="Q1014" s="1166"/>
      <c r="R1014" s="1166"/>
      <c r="S1014" s="1166"/>
      <c r="T1014" s="1166"/>
      <c r="U1014" s="1166"/>
      <c r="V1014" s="1166"/>
      <c r="W1014" s="1166"/>
      <c r="X1014" s="1166"/>
      <c r="Y1014" s="1166"/>
      <c r="Z1014" s="1166"/>
      <c r="AA1014" s="1166"/>
      <c r="AB1014" s="1166"/>
      <c r="AC1014" s="729"/>
    </row>
    <row r="1015" spans="1:29" ht="22.5" customHeight="1" thickTop="1" thickBot="1" x14ac:dyDescent="0.3">
      <c r="A1015" s="425"/>
      <c r="B1015" s="505"/>
      <c r="C1015" s="505"/>
      <c r="D1015" s="505"/>
      <c r="E1015" s="505"/>
      <c r="F1015" s="505"/>
      <c r="G1015" s="505"/>
      <c r="H1015" s="505"/>
      <c r="I1015" s="505"/>
      <c r="J1015" s="505"/>
      <c r="K1015" s="609"/>
      <c r="L1015" s="1166"/>
      <c r="M1015" s="1166"/>
      <c r="N1015" s="1166"/>
      <c r="O1015" s="1166"/>
      <c r="P1015" s="1166"/>
      <c r="Q1015" s="1166"/>
      <c r="R1015" s="1166"/>
      <c r="S1015" s="1166"/>
      <c r="T1015" s="1166"/>
      <c r="U1015" s="1166"/>
      <c r="V1015" s="1166"/>
      <c r="W1015" s="1166"/>
      <c r="X1015" s="1166"/>
      <c r="Y1015" s="1166"/>
      <c r="Z1015" s="1166"/>
      <c r="AA1015" s="1166"/>
      <c r="AB1015" s="1166"/>
      <c r="AC1015" s="729"/>
    </row>
    <row r="1016" spans="1:29" ht="22.5" customHeight="1" thickTop="1" thickBot="1" x14ac:dyDescent="0.3">
      <c r="A1016" s="425"/>
      <c r="B1016" s="505"/>
      <c r="C1016" s="505"/>
      <c r="D1016" s="505"/>
      <c r="E1016" s="505"/>
      <c r="F1016" s="505"/>
      <c r="G1016" s="505"/>
      <c r="H1016" s="505"/>
      <c r="I1016" s="505"/>
      <c r="J1016" s="505"/>
      <c r="K1016" s="609"/>
      <c r="L1016" s="1166"/>
      <c r="M1016" s="1166"/>
      <c r="N1016" s="1166"/>
      <c r="O1016" s="1166"/>
      <c r="P1016" s="1166"/>
      <c r="Q1016" s="1166"/>
      <c r="R1016" s="1166"/>
      <c r="S1016" s="1166"/>
      <c r="T1016" s="1166"/>
      <c r="U1016" s="1166"/>
      <c r="V1016" s="1166"/>
      <c r="W1016" s="1166"/>
      <c r="X1016" s="1166"/>
      <c r="Y1016" s="1166"/>
      <c r="Z1016" s="1166"/>
      <c r="AA1016" s="1166"/>
      <c r="AB1016" s="1166"/>
      <c r="AC1016" s="729"/>
    </row>
    <row r="1017" spans="1:29" ht="22.5" customHeight="1" thickTop="1" thickBot="1" x14ac:dyDescent="0.3">
      <c r="A1017" s="425"/>
      <c r="B1017" s="505"/>
      <c r="C1017" s="505"/>
      <c r="D1017" s="505"/>
      <c r="E1017" s="505"/>
      <c r="F1017" s="505"/>
      <c r="G1017" s="505"/>
      <c r="H1017" s="505"/>
      <c r="I1017" s="505"/>
      <c r="J1017" s="505"/>
      <c r="K1017" s="609"/>
      <c r="L1017" s="1166"/>
      <c r="M1017" s="1166"/>
      <c r="N1017" s="1166"/>
      <c r="O1017" s="1166"/>
      <c r="P1017" s="1166"/>
      <c r="Q1017" s="1166"/>
      <c r="R1017" s="1166"/>
      <c r="S1017" s="1166"/>
      <c r="T1017" s="1166"/>
      <c r="U1017" s="1166"/>
      <c r="V1017" s="1166"/>
      <c r="W1017" s="1166"/>
      <c r="X1017" s="1166"/>
      <c r="Y1017" s="1166"/>
      <c r="Z1017" s="1166"/>
      <c r="AA1017" s="1166"/>
      <c r="AB1017" s="1166"/>
      <c r="AC1017" s="729"/>
    </row>
    <row r="1018" spans="1:29" ht="22.5" customHeight="1" thickTop="1" thickBot="1" x14ac:dyDescent="0.3">
      <c r="A1018" s="425"/>
      <c r="B1018" s="505"/>
      <c r="C1018" s="505"/>
      <c r="D1018" s="505"/>
      <c r="E1018" s="505"/>
      <c r="F1018" s="505"/>
      <c r="G1018" s="505"/>
      <c r="H1018" s="505"/>
      <c r="I1018" s="505"/>
      <c r="J1018" s="505"/>
      <c r="K1018" s="609"/>
      <c r="L1018" s="1166"/>
      <c r="M1018" s="1166"/>
      <c r="N1018" s="1166"/>
      <c r="O1018" s="1166"/>
      <c r="P1018" s="1166"/>
      <c r="Q1018" s="1166"/>
      <c r="R1018" s="1166"/>
      <c r="S1018" s="1166"/>
      <c r="T1018" s="1166"/>
      <c r="U1018" s="1166"/>
      <c r="V1018" s="1166"/>
      <c r="W1018" s="1166"/>
      <c r="X1018" s="1166"/>
      <c r="Y1018" s="1166"/>
      <c r="Z1018" s="1166"/>
      <c r="AA1018" s="1166"/>
      <c r="AB1018" s="1166"/>
      <c r="AC1018" s="729"/>
    </row>
    <row r="1019" spans="1:29" ht="22.5" customHeight="1" thickTop="1" thickBot="1" x14ac:dyDescent="0.3">
      <c r="A1019" s="425"/>
      <c r="B1019" s="505"/>
      <c r="C1019" s="505"/>
      <c r="D1019" s="505"/>
      <c r="E1019" s="505"/>
      <c r="F1019" s="505"/>
      <c r="G1019" s="505"/>
      <c r="H1019" s="505"/>
      <c r="I1019" s="505"/>
      <c r="J1019" s="505"/>
      <c r="K1019" s="609"/>
      <c r="L1019" s="1166"/>
      <c r="M1019" s="1166"/>
      <c r="N1019" s="1166"/>
      <c r="O1019" s="1166"/>
      <c r="P1019" s="1166"/>
      <c r="Q1019" s="1166"/>
      <c r="R1019" s="1166"/>
      <c r="S1019" s="1166"/>
      <c r="T1019" s="1166"/>
      <c r="U1019" s="1166"/>
      <c r="V1019" s="1166"/>
      <c r="W1019" s="1166"/>
      <c r="X1019" s="1166"/>
      <c r="Y1019" s="1166"/>
      <c r="Z1019" s="1166"/>
      <c r="AA1019" s="1166"/>
      <c r="AB1019" s="1166"/>
      <c r="AC1019" s="729"/>
    </row>
    <row r="1020" spans="1:29" ht="22.5" customHeight="1" thickTop="1" thickBot="1" x14ac:dyDescent="0.3">
      <c r="A1020" s="425"/>
      <c r="B1020" s="505"/>
      <c r="C1020" s="505"/>
      <c r="D1020" s="505"/>
      <c r="E1020" s="505"/>
      <c r="F1020" s="505"/>
      <c r="G1020" s="505"/>
      <c r="H1020" s="505"/>
      <c r="I1020" s="505"/>
      <c r="J1020" s="505"/>
      <c r="K1020" s="609"/>
      <c r="L1020" s="1166"/>
      <c r="M1020" s="1166"/>
      <c r="N1020" s="1166"/>
      <c r="O1020" s="1166"/>
      <c r="P1020" s="1166"/>
      <c r="Q1020" s="1166"/>
      <c r="R1020" s="1166"/>
      <c r="S1020" s="1166"/>
      <c r="T1020" s="1166"/>
      <c r="U1020" s="1166"/>
      <c r="V1020" s="1166"/>
      <c r="W1020" s="1166"/>
      <c r="X1020" s="1166"/>
      <c r="Y1020" s="1166"/>
      <c r="Z1020" s="1166"/>
      <c r="AA1020" s="1166"/>
      <c r="AB1020" s="1166"/>
      <c r="AC1020" s="729"/>
    </row>
    <row r="1021" spans="1:29" ht="22.5" customHeight="1" thickTop="1" thickBot="1" x14ac:dyDescent="0.3">
      <c r="A1021" s="425"/>
      <c r="B1021" s="505"/>
      <c r="C1021" s="505"/>
      <c r="D1021" s="505"/>
      <c r="E1021" s="505"/>
      <c r="F1021" s="505"/>
      <c r="G1021" s="505"/>
      <c r="H1021" s="505"/>
      <c r="I1021" s="505"/>
      <c r="J1021" s="505"/>
      <c r="K1021" s="609"/>
      <c r="L1021" s="1166"/>
      <c r="M1021" s="1166"/>
      <c r="N1021" s="1166"/>
      <c r="O1021" s="1166"/>
      <c r="P1021" s="1166"/>
      <c r="Q1021" s="1166"/>
      <c r="R1021" s="1166"/>
      <c r="S1021" s="1166"/>
      <c r="T1021" s="1166"/>
      <c r="U1021" s="1166"/>
      <c r="V1021" s="1166"/>
      <c r="W1021" s="1166"/>
      <c r="X1021" s="1166"/>
      <c r="Y1021" s="1166"/>
      <c r="Z1021" s="1166"/>
      <c r="AA1021" s="1166"/>
      <c r="AB1021" s="1166"/>
      <c r="AC1021" s="729"/>
    </row>
    <row r="1022" spans="1:29" ht="22.5" customHeight="1" thickTop="1" thickBot="1" x14ac:dyDescent="0.3">
      <c r="A1022" s="425"/>
      <c r="B1022" s="505"/>
      <c r="C1022" s="505"/>
      <c r="D1022" s="505"/>
      <c r="E1022" s="505"/>
      <c r="F1022" s="505"/>
      <c r="G1022" s="505"/>
      <c r="H1022" s="505"/>
      <c r="I1022" s="505"/>
      <c r="J1022" s="505"/>
      <c r="K1022" s="609"/>
      <c r="L1022" s="1166"/>
      <c r="M1022" s="1166"/>
      <c r="N1022" s="1166"/>
      <c r="O1022" s="1166"/>
      <c r="P1022" s="1166"/>
      <c r="Q1022" s="1166"/>
      <c r="R1022" s="1166"/>
      <c r="S1022" s="1166"/>
      <c r="T1022" s="1166"/>
      <c r="U1022" s="1166"/>
      <c r="V1022" s="1166"/>
      <c r="W1022" s="1166"/>
      <c r="X1022" s="1166"/>
      <c r="Y1022" s="1166"/>
      <c r="Z1022" s="1166"/>
      <c r="AA1022" s="1166"/>
      <c r="AB1022" s="1166"/>
      <c r="AC1022" s="729"/>
    </row>
    <row r="1023" spans="1:29" ht="22.5" customHeight="1" thickTop="1" thickBot="1" x14ac:dyDescent="0.3">
      <c r="A1023" s="425"/>
      <c r="B1023" s="505"/>
      <c r="C1023" s="505"/>
      <c r="D1023" s="505"/>
      <c r="E1023" s="505"/>
      <c r="F1023" s="505"/>
      <c r="G1023" s="505"/>
      <c r="H1023" s="505"/>
      <c r="I1023" s="505"/>
      <c r="J1023" s="505"/>
      <c r="K1023" s="609"/>
      <c r="L1023" s="1166"/>
      <c r="M1023" s="1166"/>
      <c r="N1023" s="1166"/>
      <c r="O1023" s="1166"/>
      <c r="P1023" s="1166"/>
      <c r="Q1023" s="1166"/>
      <c r="R1023" s="1166"/>
      <c r="S1023" s="1166"/>
      <c r="T1023" s="1166"/>
      <c r="U1023" s="1166"/>
      <c r="V1023" s="1166"/>
      <c r="W1023" s="1166"/>
      <c r="X1023" s="1166"/>
      <c r="Y1023" s="1166"/>
      <c r="Z1023" s="1166"/>
      <c r="AA1023" s="1166"/>
      <c r="AB1023" s="1166"/>
      <c r="AC1023" s="729"/>
    </row>
    <row r="1024" spans="1:29" ht="22.5" customHeight="1" thickTop="1" thickBot="1" x14ac:dyDescent="0.3">
      <c r="A1024" s="425"/>
      <c r="B1024" s="505"/>
      <c r="C1024" s="505"/>
      <c r="D1024" s="505"/>
      <c r="E1024" s="505"/>
      <c r="F1024" s="505"/>
      <c r="G1024" s="505"/>
      <c r="H1024" s="505"/>
      <c r="I1024" s="505"/>
      <c r="J1024" s="505"/>
      <c r="K1024" s="609"/>
      <c r="L1024" s="1166"/>
      <c r="M1024" s="1166"/>
      <c r="N1024" s="1166"/>
      <c r="O1024" s="1166"/>
      <c r="P1024" s="1166"/>
      <c r="Q1024" s="1166"/>
      <c r="R1024" s="1166"/>
      <c r="S1024" s="1166"/>
      <c r="T1024" s="1166"/>
      <c r="U1024" s="1166"/>
      <c r="V1024" s="1166"/>
      <c r="W1024" s="1166"/>
      <c r="X1024" s="1166"/>
      <c r="Y1024" s="1166"/>
      <c r="Z1024" s="1166"/>
      <c r="AA1024" s="1166"/>
      <c r="AB1024" s="1166"/>
      <c r="AC1024" s="729"/>
    </row>
    <row r="1025" spans="1:29" ht="22.5" customHeight="1" thickTop="1" thickBot="1" x14ac:dyDescent="0.3">
      <c r="A1025" s="425"/>
      <c r="B1025" s="505"/>
      <c r="C1025" s="505"/>
      <c r="D1025" s="505"/>
      <c r="E1025" s="505"/>
      <c r="F1025" s="505"/>
      <c r="G1025" s="505"/>
      <c r="H1025" s="505"/>
      <c r="I1025" s="505"/>
      <c r="J1025" s="505"/>
      <c r="K1025" s="609"/>
      <c r="L1025" s="1166"/>
      <c r="M1025" s="1166"/>
      <c r="N1025" s="1166"/>
      <c r="O1025" s="1166"/>
      <c r="P1025" s="1166"/>
      <c r="Q1025" s="1166"/>
      <c r="R1025" s="1166"/>
      <c r="S1025" s="1166"/>
      <c r="T1025" s="1166"/>
      <c r="U1025" s="1166"/>
      <c r="V1025" s="1166"/>
      <c r="W1025" s="1166"/>
      <c r="X1025" s="1166"/>
      <c r="Y1025" s="1166"/>
      <c r="Z1025" s="1166"/>
      <c r="AA1025" s="1166"/>
      <c r="AB1025" s="1166"/>
      <c r="AC1025" s="729"/>
    </row>
    <row r="1026" spans="1:29" ht="36" customHeight="1" thickTop="1" thickBot="1" x14ac:dyDescent="0.3">
      <c r="A1026" s="418" t="s">
        <v>216</v>
      </c>
      <c r="B1026" s="418" t="s">
        <v>231</v>
      </c>
      <c r="C1026" s="418"/>
      <c r="D1026" s="418"/>
      <c r="E1026" s="418"/>
      <c r="F1026" s="418"/>
      <c r="G1026" s="418"/>
      <c r="H1026" s="418"/>
      <c r="I1026" s="545"/>
      <c r="J1026" s="545"/>
      <c r="K1026" s="1167" t="s">
        <v>728</v>
      </c>
      <c r="L1026" s="1168">
        <f>+L1027+L1031</f>
        <v>0</v>
      </c>
      <c r="M1026" s="1168">
        <f t="shared" ref="M1026:Y1026" si="172">+M1027+M1031</f>
        <v>0</v>
      </c>
      <c r="N1026" s="1168">
        <f t="shared" si="172"/>
        <v>0</v>
      </c>
      <c r="O1026" s="1168">
        <f t="shared" ref="O1026:O1045" si="173">L1026+M1026-N1026</f>
        <v>0</v>
      </c>
      <c r="P1026" s="1168">
        <f t="shared" si="172"/>
        <v>0</v>
      </c>
      <c r="Q1026" s="1168"/>
      <c r="R1026" s="1168">
        <f t="shared" si="172"/>
        <v>0</v>
      </c>
      <c r="S1026" s="1168"/>
      <c r="T1026" s="1168">
        <f t="shared" si="172"/>
        <v>0</v>
      </c>
      <c r="U1026" s="1168"/>
      <c r="V1026" s="1168">
        <f t="shared" si="172"/>
        <v>0</v>
      </c>
      <c r="W1026" s="1168"/>
      <c r="X1026" s="1168">
        <f t="shared" si="172"/>
        <v>0</v>
      </c>
      <c r="Y1026" s="1168">
        <f t="shared" si="172"/>
        <v>0</v>
      </c>
      <c r="Z1026" s="1168"/>
      <c r="AA1026" s="1168"/>
      <c r="AB1026" s="1168" t="e">
        <f t="shared" ref="AB1026:AB1045" si="174">Y1026/O1026</f>
        <v>#DIV/0!</v>
      </c>
      <c r="AC1026" s="729"/>
    </row>
    <row r="1027" spans="1:29" ht="18.75" customHeight="1" thickTop="1" thickBot="1" x14ac:dyDescent="0.3">
      <c r="A1027" s="425">
        <v>1</v>
      </c>
      <c r="B1027" s="505" t="s">
        <v>231</v>
      </c>
      <c r="C1027" s="505" t="s">
        <v>220</v>
      </c>
      <c r="D1027" s="505"/>
      <c r="E1027" s="425"/>
      <c r="F1027" s="505"/>
      <c r="G1027" s="505"/>
      <c r="H1027" s="505"/>
      <c r="I1027" s="505"/>
      <c r="J1027" s="505"/>
      <c r="K1027" s="609" t="s">
        <v>729</v>
      </c>
      <c r="L1027" s="1166">
        <f>SUM(L1028:L1030)</f>
        <v>0</v>
      </c>
      <c r="M1027" s="1166">
        <f t="shared" ref="M1027:Y1027" si="175">SUM(M1028:M1030)</f>
        <v>0</v>
      </c>
      <c r="N1027" s="1166">
        <f t="shared" si="175"/>
        <v>0</v>
      </c>
      <c r="O1027" s="1166">
        <f t="shared" si="173"/>
        <v>0</v>
      </c>
      <c r="P1027" s="1166">
        <f t="shared" si="175"/>
        <v>0</v>
      </c>
      <c r="Q1027" s="1166"/>
      <c r="R1027" s="1166">
        <f t="shared" si="175"/>
        <v>0</v>
      </c>
      <c r="S1027" s="1166"/>
      <c r="T1027" s="1166">
        <f t="shared" si="175"/>
        <v>0</v>
      </c>
      <c r="U1027" s="1166"/>
      <c r="V1027" s="1166">
        <f t="shared" si="175"/>
        <v>0</v>
      </c>
      <c r="W1027" s="1166"/>
      <c r="X1027" s="1166">
        <f t="shared" si="175"/>
        <v>0</v>
      </c>
      <c r="Y1027" s="1166">
        <f t="shared" si="175"/>
        <v>0</v>
      </c>
      <c r="Z1027" s="1166"/>
      <c r="AA1027" s="1166"/>
      <c r="AB1027" s="1166" t="e">
        <f t="shared" si="174"/>
        <v>#DIV/0!</v>
      </c>
      <c r="AC1027" s="729"/>
    </row>
    <row r="1028" spans="1:29" ht="18.75" customHeight="1" thickTop="1" thickBot="1" x14ac:dyDescent="0.3">
      <c r="A1028" s="425">
        <v>1</v>
      </c>
      <c r="B1028" s="505" t="s">
        <v>231</v>
      </c>
      <c r="C1028" s="505" t="s">
        <v>220</v>
      </c>
      <c r="D1028" s="505" t="s">
        <v>220</v>
      </c>
      <c r="E1028" s="505"/>
      <c r="F1028" s="505"/>
      <c r="G1028" s="505"/>
      <c r="H1028" s="505"/>
      <c r="I1028" s="505"/>
      <c r="J1028" s="505"/>
      <c r="K1028" s="609" t="s">
        <v>730</v>
      </c>
      <c r="L1028" s="1166"/>
      <c r="M1028" s="1166"/>
      <c r="N1028" s="1166"/>
      <c r="O1028" s="1166">
        <f t="shared" si="173"/>
        <v>0</v>
      </c>
      <c r="P1028" s="1166"/>
      <c r="Q1028" s="1166"/>
      <c r="R1028" s="1166"/>
      <c r="S1028" s="1166"/>
      <c r="T1028" s="1166"/>
      <c r="U1028" s="1166"/>
      <c r="V1028" s="1166"/>
      <c r="W1028" s="1166"/>
      <c r="X1028" s="1166"/>
      <c r="Y1028" s="1166"/>
      <c r="Z1028" s="1166"/>
      <c r="AA1028" s="1166"/>
      <c r="AB1028" s="1166" t="e">
        <f t="shared" si="174"/>
        <v>#DIV/0!</v>
      </c>
      <c r="AC1028" s="729"/>
    </row>
    <row r="1029" spans="1:29" ht="18.75" customHeight="1" thickTop="1" thickBot="1" x14ac:dyDescent="0.3">
      <c r="A1029" s="425">
        <v>1</v>
      </c>
      <c r="B1029" s="505" t="s">
        <v>231</v>
      </c>
      <c r="C1029" s="505" t="s">
        <v>220</v>
      </c>
      <c r="D1029" s="505" t="s">
        <v>231</v>
      </c>
      <c r="E1029" s="505"/>
      <c r="F1029" s="505"/>
      <c r="G1029" s="505"/>
      <c r="H1029" s="505"/>
      <c r="I1029" s="505"/>
      <c r="J1029" s="505"/>
      <c r="K1029" s="609" t="s">
        <v>731</v>
      </c>
      <c r="L1029" s="1166"/>
      <c r="M1029" s="1166"/>
      <c r="N1029" s="1166"/>
      <c r="O1029" s="1166">
        <f t="shared" si="173"/>
        <v>0</v>
      </c>
      <c r="P1029" s="1166"/>
      <c r="Q1029" s="1166"/>
      <c r="R1029" s="1166"/>
      <c r="S1029" s="1166"/>
      <c r="T1029" s="1166"/>
      <c r="U1029" s="1166"/>
      <c r="V1029" s="1166"/>
      <c r="W1029" s="1166"/>
      <c r="X1029" s="1166"/>
      <c r="Y1029" s="1166"/>
      <c r="Z1029" s="1166"/>
      <c r="AA1029" s="1166"/>
      <c r="AB1029" s="1166" t="e">
        <f t="shared" si="174"/>
        <v>#DIV/0!</v>
      </c>
      <c r="AC1029" s="729"/>
    </row>
    <row r="1030" spans="1:29" ht="18.75" customHeight="1" thickTop="1" thickBot="1" x14ac:dyDescent="0.3">
      <c r="A1030" s="425">
        <v>1</v>
      </c>
      <c r="B1030" s="505" t="s">
        <v>231</v>
      </c>
      <c r="C1030" s="505" t="s">
        <v>220</v>
      </c>
      <c r="D1030" s="505" t="s">
        <v>305</v>
      </c>
      <c r="E1030" s="505"/>
      <c r="F1030" s="505"/>
      <c r="G1030" s="505"/>
      <c r="H1030" s="505"/>
      <c r="I1030" s="505"/>
      <c r="J1030" s="505"/>
      <c r="K1030" s="609" t="s">
        <v>732</v>
      </c>
      <c r="L1030" s="1166"/>
      <c r="M1030" s="1166"/>
      <c r="N1030" s="1166"/>
      <c r="O1030" s="1166">
        <f t="shared" si="173"/>
        <v>0</v>
      </c>
      <c r="P1030" s="1166"/>
      <c r="Q1030" s="1166"/>
      <c r="R1030" s="1166"/>
      <c r="S1030" s="1166"/>
      <c r="T1030" s="1166"/>
      <c r="U1030" s="1166"/>
      <c r="V1030" s="1166"/>
      <c r="W1030" s="1166"/>
      <c r="X1030" s="1166"/>
      <c r="Y1030" s="1166"/>
      <c r="Z1030" s="1166"/>
      <c r="AA1030" s="1166"/>
      <c r="AB1030" s="1166" t="e">
        <f t="shared" si="174"/>
        <v>#DIV/0!</v>
      </c>
      <c r="AC1030" s="729"/>
    </row>
    <row r="1031" spans="1:29" ht="18.75" customHeight="1" thickTop="1" thickBot="1" x14ac:dyDescent="0.3">
      <c r="A1031" s="425">
        <v>1</v>
      </c>
      <c r="B1031" s="505" t="s">
        <v>231</v>
      </c>
      <c r="C1031" s="505" t="s">
        <v>231</v>
      </c>
      <c r="D1031" s="505"/>
      <c r="E1031" s="425"/>
      <c r="F1031" s="505"/>
      <c r="G1031" s="505"/>
      <c r="H1031" s="505"/>
      <c r="I1031" s="505"/>
      <c r="J1031" s="505"/>
      <c r="K1031" s="609" t="s">
        <v>733</v>
      </c>
      <c r="L1031" s="1166"/>
      <c r="M1031" s="1166"/>
      <c r="N1031" s="1166"/>
      <c r="O1031" s="1166">
        <f t="shared" si="173"/>
        <v>0</v>
      </c>
      <c r="P1031" s="1166"/>
      <c r="Q1031" s="1166"/>
      <c r="R1031" s="1166"/>
      <c r="S1031" s="1166"/>
      <c r="T1031" s="1166"/>
      <c r="U1031" s="1166"/>
      <c r="V1031" s="1166"/>
      <c r="W1031" s="1166"/>
      <c r="X1031" s="1166"/>
      <c r="Y1031" s="1166"/>
      <c r="Z1031" s="1166"/>
      <c r="AA1031" s="1166"/>
      <c r="AB1031" s="1166" t="e">
        <f t="shared" si="174"/>
        <v>#DIV/0!</v>
      </c>
      <c r="AC1031" s="729"/>
    </row>
    <row r="1032" spans="1:29" ht="36" customHeight="1" thickTop="1" thickBot="1" x14ac:dyDescent="0.3">
      <c r="A1032" s="418">
        <v>1</v>
      </c>
      <c r="B1032" s="418" t="s">
        <v>305</v>
      </c>
      <c r="C1032" s="418"/>
      <c r="D1032" s="418"/>
      <c r="E1032" s="418"/>
      <c r="F1032" s="418"/>
      <c r="G1032" s="418"/>
      <c r="H1032" s="418"/>
      <c r="I1032" s="545"/>
      <c r="J1032" s="545"/>
      <c r="K1032" s="1169" t="s">
        <v>734</v>
      </c>
      <c r="L1032" s="1168">
        <f>+L1033+L1037</f>
        <v>0</v>
      </c>
      <c r="M1032" s="1168">
        <f t="shared" ref="M1032:Y1032" si="176">+M1033+M1037</f>
        <v>0</v>
      </c>
      <c r="N1032" s="1168">
        <f t="shared" si="176"/>
        <v>0</v>
      </c>
      <c r="O1032" s="1168">
        <f t="shared" si="173"/>
        <v>0</v>
      </c>
      <c r="P1032" s="1168">
        <f t="shared" si="176"/>
        <v>0</v>
      </c>
      <c r="Q1032" s="1168"/>
      <c r="R1032" s="1168">
        <f t="shared" si="176"/>
        <v>0</v>
      </c>
      <c r="S1032" s="1168"/>
      <c r="T1032" s="1168">
        <f t="shared" si="176"/>
        <v>0</v>
      </c>
      <c r="U1032" s="1168"/>
      <c r="V1032" s="1168">
        <f t="shared" si="176"/>
        <v>0</v>
      </c>
      <c r="W1032" s="1168"/>
      <c r="X1032" s="1168">
        <f t="shared" si="176"/>
        <v>0</v>
      </c>
      <c r="Y1032" s="1168">
        <f t="shared" si="176"/>
        <v>0</v>
      </c>
      <c r="Z1032" s="1168"/>
      <c r="AA1032" s="1168"/>
      <c r="AB1032" s="1168" t="e">
        <f t="shared" si="174"/>
        <v>#DIV/0!</v>
      </c>
      <c r="AC1032" s="729"/>
    </row>
    <row r="1033" spans="1:29" ht="18.75" customHeight="1" thickTop="1" thickBot="1" x14ac:dyDescent="0.3">
      <c r="A1033" s="425">
        <v>1</v>
      </c>
      <c r="B1033" s="505" t="s">
        <v>305</v>
      </c>
      <c r="C1033" s="505" t="s">
        <v>220</v>
      </c>
      <c r="D1033" s="505"/>
      <c r="E1033" s="425"/>
      <c r="F1033" s="505"/>
      <c r="G1033" s="505"/>
      <c r="H1033" s="505"/>
      <c r="I1033" s="505"/>
      <c r="J1033" s="505"/>
      <c r="K1033" s="609" t="s">
        <v>735</v>
      </c>
      <c r="L1033" s="1166">
        <f>SUM(L1034:L1036)</f>
        <v>0</v>
      </c>
      <c r="M1033" s="1166">
        <f t="shared" ref="M1033:Y1033" si="177">SUM(M1034:M1036)</f>
        <v>0</v>
      </c>
      <c r="N1033" s="1166">
        <f t="shared" si="177"/>
        <v>0</v>
      </c>
      <c r="O1033" s="1166">
        <f t="shared" si="173"/>
        <v>0</v>
      </c>
      <c r="P1033" s="1166">
        <f t="shared" si="177"/>
        <v>0</v>
      </c>
      <c r="Q1033" s="1166"/>
      <c r="R1033" s="1166">
        <f t="shared" si="177"/>
        <v>0</v>
      </c>
      <c r="S1033" s="1166"/>
      <c r="T1033" s="1166">
        <f t="shared" si="177"/>
        <v>0</v>
      </c>
      <c r="U1033" s="1166"/>
      <c r="V1033" s="1166">
        <f t="shared" si="177"/>
        <v>0</v>
      </c>
      <c r="W1033" s="1166"/>
      <c r="X1033" s="1166">
        <f t="shared" si="177"/>
        <v>0</v>
      </c>
      <c r="Y1033" s="1166">
        <f t="shared" si="177"/>
        <v>0</v>
      </c>
      <c r="Z1033" s="1166"/>
      <c r="AA1033" s="1166"/>
      <c r="AB1033" s="1166" t="e">
        <f t="shared" si="174"/>
        <v>#DIV/0!</v>
      </c>
      <c r="AC1033" s="729"/>
    </row>
    <row r="1034" spans="1:29" ht="18.75" customHeight="1" thickTop="1" thickBot="1" x14ac:dyDescent="0.3">
      <c r="A1034" s="425">
        <v>1</v>
      </c>
      <c r="B1034" s="505" t="s">
        <v>305</v>
      </c>
      <c r="C1034" s="505" t="s">
        <v>220</v>
      </c>
      <c r="D1034" s="505" t="s">
        <v>220</v>
      </c>
      <c r="E1034" s="505"/>
      <c r="F1034" s="505"/>
      <c r="G1034" s="505"/>
      <c r="H1034" s="505"/>
      <c r="I1034" s="505"/>
      <c r="J1034" s="505"/>
      <c r="K1034" s="609" t="s">
        <v>736</v>
      </c>
      <c r="L1034" s="1166"/>
      <c r="M1034" s="1166"/>
      <c r="N1034" s="1166"/>
      <c r="O1034" s="1166">
        <f t="shared" si="173"/>
        <v>0</v>
      </c>
      <c r="P1034" s="1166"/>
      <c r="Q1034" s="1166"/>
      <c r="R1034" s="1166"/>
      <c r="S1034" s="1166"/>
      <c r="T1034" s="1166"/>
      <c r="U1034" s="1166"/>
      <c r="V1034" s="1166"/>
      <c r="W1034" s="1166"/>
      <c r="X1034" s="1166"/>
      <c r="Y1034" s="1166"/>
      <c r="Z1034" s="1166"/>
      <c r="AA1034" s="1166"/>
      <c r="AB1034" s="1166" t="e">
        <f t="shared" si="174"/>
        <v>#DIV/0!</v>
      </c>
      <c r="AC1034" s="729"/>
    </row>
    <row r="1035" spans="1:29" ht="18.75" customHeight="1" thickTop="1" thickBot="1" x14ac:dyDescent="0.3">
      <c r="A1035" s="425">
        <v>1</v>
      </c>
      <c r="B1035" s="505" t="s">
        <v>305</v>
      </c>
      <c r="C1035" s="505" t="s">
        <v>220</v>
      </c>
      <c r="D1035" s="505" t="s">
        <v>231</v>
      </c>
      <c r="E1035" s="505"/>
      <c r="F1035" s="505"/>
      <c r="G1035" s="505"/>
      <c r="H1035" s="505"/>
      <c r="I1035" s="505"/>
      <c r="J1035" s="505"/>
      <c r="K1035" s="609" t="s">
        <v>737</v>
      </c>
      <c r="L1035" s="1166"/>
      <c r="M1035" s="1166"/>
      <c r="N1035" s="1166"/>
      <c r="O1035" s="1166">
        <f t="shared" si="173"/>
        <v>0</v>
      </c>
      <c r="P1035" s="1166"/>
      <c r="Q1035" s="1166"/>
      <c r="R1035" s="1166"/>
      <c r="S1035" s="1166"/>
      <c r="T1035" s="1166"/>
      <c r="U1035" s="1166"/>
      <c r="V1035" s="1166"/>
      <c r="W1035" s="1166"/>
      <c r="X1035" s="1166"/>
      <c r="Y1035" s="1166"/>
      <c r="Z1035" s="1166"/>
      <c r="AA1035" s="1166"/>
      <c r="AB1035" s="1166" t="e">
        <f t="shared" si="174"/>
        <v>#DIV/0!</v>
      </c>
      <c r="AC1035" s="729"/>
    </row>
    <row r="1036" spans="1:29" ht="18.75" customHeight="1" thickTop="1" thickBot="1" x14ac:dyDescent="0.3">
      <c r="A1036" s="425">
        <v>1</v>
      </c>
      <c r="B1036" s="505" t="s">
        <v>305</v>
      </c>
      <c r="C1036" s="505" t="s">
        <v>220</v>
      </c>
      <c r="D1036" s="505" t="s">
        <v>305</v>
      </c>
      <c r="E1036" s="505"/>
      <c r="F1036" s="505"/>
      <c r="G1036" s="505"/>
      <c r="H1036" s="505"/>
      <c r="I1036" s="505"/>
      <c r="J1036" s="505"/>
      <c r="K1036" s="609" t="s">
        <v>738</v>
      </c>
      <c r="L1036" s="1166"/>
      <c r="M1036" s="1166"/>
      <c r="N1036" s="1166"/>
      <c r="O1036" s="1166">
        <f t="shared" si="173"/>
        <v>0</v>
      </c>
      <c r="P1036" s="1166"/>
      <c r="Q1036" s="1166"/>
      <c r="R1036" s="1166"/>
      <c r="S1036" s="1166"/>
      <c r="T1036" s="1166"/>
      <c r="U1036" s="1166"/>
      <c r="V1036" s="1166"/>
      <c r="W1036" s="1166"/>
      <c r="X1036" s="1166"/>
      <c r="Y1036" s="1166"/>
      <c r="Z1036" s="1166"/>
      <c r="AA1036" s="1166"/>
      <c r="AB1036" s="1166" t="e">
        <f t="shared" si="174"/>
        <v>#DIV/0!</v>
      </c>
      <c r="AC1036" s="729"/>
    </row>
    <row r="1037" spans="1:29" ht="18.75" customHeight="1" thickTop="1" thickBot="1" x14ac:dyDescent="0.3">
      <c r="A1037" s="425">
        <v>1</v>
      </c>
      <c r="B1037" s="505" t="s">
        <v>305</v>
      </c>
      <c r="C1037" s="505" t="s">
        <v>231</v>
      </c>
      <c r="D1037" s="505"/>
      <c r="E1037" s="425"/>
      <c r="F1037" s="505"/>
      <c r="G1037" s="505"/>
      <c r="H1037" s="505"/>
      <c r="I1037" s="505"/>
      <c r="J1037" s="505"/>
      <c r="K1037" s="609" t="s">
        <v>739</v>
      </c>
      <c r="L1037" s="1166"/>
      <c r="M1037" s="1166"/>
      <c r="N1037" s="1166"/>
      <c r="O1037" s="1166">
        <f t="shared" si="173"/>
        <v>0</v>
      </c>
      <c r="P1037" s="1166"/>
      <c r="Q1037" s="1166"/>
      <c r="R1037" s="1166"/>
      <c r="S1037" s="1166"/>
      <c r="T1037" s="1166"/>
      <c r="U1037" s="1166"/>
      <c r="V1037" s="1166"/>
      <c r="W1037" s="1166"/>
      <c r="X1037" s="1166"/>
      <c r="Y1037" s="1166"/>
      <c r="Z1037" s="1166"/>
      <c r="AA1037" s="1166"/>
      <c r="AB1037" s="1166" t="e">
        <f t="shared" si="174"/>
        <v>#DIV/0!</v>
      </c>
      <c r="AC1037" s="729"/>
    </row>
    <row r="1038" spans="1:29" ht="36" customHeight="1" thickTop="1" thickBot="1" x14ac:dyDescent="0.3">
      <c r="A1038" s="418">
        <v>1</v>
      </c>
      <c r="B1038" s="418" t="s">
        <v>313</v>
      </c>
      <c r="C1038" s="418"/>
      <c r="D1038" s="418"/>
      <c r="E1038" s="418"/>
      <c r="F1038" s="418"/>
      <c r="G1038" s="418"/>
      <c r="H1038" s="418"/>
      <c r="I1038" s="545"/>
      <c r="J1038" s="545"/>
      <c r="K1038" s="1167" t="s">
        <v>740</v>
      </c>
      <c r="L1038" s="1168"/>
      <c r="M1038" s="1168"/>
      <c r="N1038" s="1168"/>
      <c r="O1038" s="1168">
        <f t="shared" si="173"/>
        <v>0</v>
      </c>
      <c r="P1038" s="1168"/>
      <c r="Q1038" s="1168"/>
      <c r="R1038" s="1168"/>
      <c r="S1038" s="1168"/>
      <c r="T1038" s="1168"/>
      <c r="U1038" s="1168"/>
      <c r="V1038" s="1168"/>
      <c r="W1038" s="1168"/>
      <c r="X1038" s="1168"/>
      <c r="Y1038" s="1168"/>
      <c r="Z1038" s="1168"/>
      <c r="AA1038" s="1168"/>
      <c r="AB1038" s="1168" t="e">
        <f t="shared" si="174"/>
        <v>#DIV/0!</v>
      </c>
      <c r="AC1038" s="729"/>
    </row>
    <row r="1039" spans="1:29" ht="36" customHeight="1" thickTop="1" thickBot="1" x14ac:dyDescent="0.3">
      <c r="A1039" s="418" t="s">
        <v>216</v>
      </c>
      <c r="B1039" s="418" t="s">
        <v>243</v>
      </c>
      <c r="C1039" s="418"/>
      <c r="D1039" s="418"/>
      <c r="E1039" s="418"/>
      <c r="F1039" s="418"/>
      <c r="G1039" s="418"/>
      <c r="H1039" s="418"/>
      <c r="I1039" s="545"/>
      <c r="J1039" s="545"/>
      <c r="K1039" s="1167" t="s">
        <v>742</v>
      </c>
      <c r="L1039" s="1168">
        <f>+L1040+L1044+L1045</f>
        <v>0</v>
      </c>
      <c r="M1039" s="1168">
        <f t="shared" ref="M1039:Y1039" si="178">+M1040+M1044+M1045</f>
        <v>0</v>
      </c>
      <c r="N1039" s="1168">
        <f t="shared" si="178"/>
        <v>0</v>
      </c>
      <c r="O1039" s="1168">
        <f t="shared" si="173"/>
        <v>0</v>
      </c>
      <c r="P1039" s="1168">
        <f t="shared" si="178"/>
        <v>0</v>
      </c>
      <c r="Q1039" s="1168"/>
      <c r="R1039" s="1168">
        <f t="shared" si="178"/>
        <v>0</v>
      </c>
      <c r="S1039" s="1168"/>
      <c r="T1039" s="1168">
        <f t="shared" si="178"/>
        <v>0</v>
      </c>
      <c r="U1039" s="1168"/>
      <c r="V1039" s="1168">
        <f t="shared" si="178"/>
        <v>0</v>
      </c>
      <c r="W1039" s="1168"/>
      <c r="X1039" s="1168">
        <f t="shared" si="178"/>
        <v>0</v>
      </c>
      <c r="Y1039" s="1168">
        <f t="shared" si="178"/>
        <v>0</v>
      </c>
      <c r="Z1039" s="1168"/>
      <c r="AA1039" s="1168"/>
      <c r="AB1039" s="1168" t="e">
        <f t="shared" si="174"/>
        <v>#DIV/0!</v>
      </c>
      <c r="AC1039" s="729"/>
    </row>
    <row r="1040" spans="1:29" ht="18.75" customHeight="1" thickTop="1" thickBot="1" x14ac:dyDescent="0.3">
      <c r="A1040" s="425" t="s">
        <v>216</v>
      </c>
      <c r="B1040" s="505" t="s">
        <v>243</v>
      </c>
      <c r="C1040" s="505" t="s">
        <v>220</v>
      </c>
      <c r="D1040" s="505"/>
      <c r="E1040" s="425"/>
      <c r="F1040" s="505"/>
      <c r="G1040" s="505"/>
      <c r="H1040" s="505"/>
      <c r="I1040" s="505"/>
      <c r="J1040" s="505"/>
      <c r="K1040" s="1170" t="s">
        <v>743</v>
      </c>
      <c r="L1040" s="1166">
        <f>SUM(L1041:L1043)</f>
        <v>0</v>
      </c>
      <c r="M1040" s="1166">
        <f t="shared" ref="M1040:Y1040" si="179">SUM(M1041:M1043)</f>
        <v>0</v>
      </c>
      <c r="N1040" s="1166">
        <f t="shared" si="179"/>
        <v>0</v>
      </c>
      <c r="O1040" s="1166">
        <f t="shared" si="173"/>
        <v>0</v>
      </c>
      <c r="P1040" s="1166">
        <f t="shared" si="179"/>
        <v>0</v>
      </c>
      <c r="Q1040" s="1166"/>
      <c r="R1040" s="1166">
        <f t="shared" si="179"/>
        <v>0</v>
      </c>
      <c r="S1040" s="1166"/>
      <c r="T1040" s="1166">
        <f t="shared" si="179"/>
        <v>0</v>
      </c>
      <c r="U1040" s="1166"/>
      <c r="V1040" s="1166">
        <f t="shared" si="179"/>
        <v>0</v>
      </c>
      <c r="W1040" s="1166"/>
      <c r="X1040" s="1166">
        <f t="shared" si="179"/>
        <v>0</v>
      </c>
      <c r="Y1040" s="1166">
        <f t="shared" si="179"/>
        <v>0</v>
      </c>
      <c r="Z1040" s="1166"/>
      <c r="AA1040" s="1166"/>
      <c r="AB1040" s="1166" t="e">
        <f t="shared" si="174"/>
        <v>#DIV/0!</v>
      </c>
      <c r="AC1040" s="729"/>
    </row>
    <row r="1041" spans="1:29" ht="18.75" customHeight="1" thickTop="1" thickBot="1" x14ac:dyDescent="0.3">
      <c r="A1041" s="425" t="s">
        <v>216</v>
      </c>
      <c r="B1041" s="505" t="s">
        <v>243</v>
      </c>
      <c r="C1041" s="505" t="s">
        <v>220</v>
      </c>
      <c r="D1041" s="505" t="s">
        <v>220</v>
      </c>
      <c r="E1041" s="505"/>
      <c r="F1041" s="505"/>
      <c r="G1041" s="505"/>
      <c r="H1041" s="505"/>
      <c r="I1041" s="505"/>
      <c r="J1041" s="505"/>
      <c r="K1041" s="609" t="s">
        <v>744</v>
      </c>
      <c r="L1041" s="1166"/>
      <c r="M1041" s="1166"/>
      <c r="N1041" s="1166"/>
      <c r="O1041" s="1166">
        <f t="shared" si="173"/>
        <v>0</v>
      </c>
      <c r="P1041" s="1166"/>
      <c r="Q1041" s="1166"/>
      <c r="R1041" s="1166"/>
      <c r="S1041" s="1166"/>
      <c r="T1041" s="1166"/>
      <c r="U1041" s="1166"/>
      <c r="V1041" s="1166"/>
      <c r="W1041" s="1166"/>
      <c r="X1041" s="1166"/>
      <c r="Y1041" s="1166"/>
      <c r="Z1041" s="1166"/>
      <c r="AA1041" s="1166"/>
      <c r="AB1041" s="1166" t="e">
        <f t="shared" si="174"/>
        <v>#DIV/0!</v>
      </c>
      <c r="AC1041" s="729"/>
    </row>
    <row r="1042" spans="1:29" ht="18.75" customHeight="1" thickTop="1" thickBot="1" x14ac:dyDescent="0.3">
      <c r="A1042" s="425" t="s">
        <v>216</v>
      </c>
      <c r="B1042" s="505" t="s">
        <v>243</v>
      </c>
      <c r="C1042" s="505" t="s">
        <v>220</v>
      </c>
      <c r="D1042" s="505" t="s">
        <v>231</v>
      </c>
      <c r="E1042" s="505"/>
      <c r="F1042" s="505"/>
      <c r="G1042" s="505"/>
      <c r="H1042" s="505"/>
      <c r="I1042" s="505"/>
      <c r="J1042" s="505"/>
      <c r="K1042" s="609" t="s">
        <v>745</v>
      </c>
      <c r="L1042" s="1166"/>
      <c r="M1042" s="1166"/>
      <c r="N1042" s="1166"/>
      <c r="O1042" s="1166">
        <f t="shared" si="173"/>
        <v>0</v>
      </c>
      <c r="P1042" s="1166"/>
      <c r="Q1042" s="1166"/>
      <c r="R1042" s="1166"/>
      <c r="S1042" s="1166"/>
      <c r="T1042" s="1166"/>
      <c r="U1042" s="1166"/>
      <c r="V1042" s="1166"/>
      <c r="W1042" s="1166"/>
      <c r="X1042" s="1166"/>
      <c r="Y1042" s="1166"/>
      <c r="Z1042" s="1166"/>
      <c r="AA1042" s="1166"/>
      <c r="AB1042" s="1166" t="e">
        <f t="shared" si="174"/>
        <v>#DIV/0!</v>
      </c>
      <c r="AC1042" s="729"/>
    </row>
    <row r="1043" spans="1:29" ht="18.75" customHeight="1" thickTop="1" thickBot="1" x14ac:dyDescent="0.3">
      <c r="A1043" s="425" t="s">
        <v>216</v>
      </c>
      <c r="B1043" s="505" t="s">
        <v>243</v>
      </c>
      <c r="C1043" s="505" t="s">
        <v>220</v>
      </c>
      <c r="D1043" s="505" t="s">
        <v>305</v>
      </c>
      <c r="E1043" s="505"/>
      <c r="F1043" s="505"/>
      <c r="G1043" s="505"/>
      <c r="H1043" s="505"/>
      <c r="I1043" s="505"/>
      <c r="J1043" s="505"/>
      <c r="K1043" s="609" t="s">
        <v>746</v>
      </c>
      <c r="L1043" s="1166"/>
      <c r="M1043" s="1166"/>
      <c r="N1043" s="1166"/>
      <c r="O1043" s="1166">
        <f t="shared" si="173"/>
        <v>0</v>
      </c>
      <c r="P1043" s="1166"/>
      <c r="Q1043" s="1166"/>
      <c r="R1043" s="1166"/>
      <c r="S1043" s="1166"/>
      <c r="T1043" s="1166"/>
      <c r="U1043" s="1166"/>
      <c r="V1043" s="1166"/>
      <c r="W1043" s="1166"/>
      <c r="X1043" s="1166"/>
      <c r="Y1043" s="1166"/>
      <c r="Z1043" s="1166"/>
      <c r="AA1043" s="1166"/>
      <c r="AB1043" s="1166" t="e">
        <f t="shared" si="174"/>
        <v>#DIV/0!</v>
      </c>
      <c r="AC1043" s="729"/>
    </row>
    <row r="1044" spans="1:29" ht="18.75" customHeight="1" thickTop="1" thickBot="1" x14ac:dyDescent="0.3">
      <c r="A1044" s="425" t="s">
        <v>216</v>
      </c>
      <c r="B1044" s="505" t="s">
        <v>243</v>
      </c>
      <c r="C1044" s="505" t="s">
        <v>231</v>
      </c>
      <c r="D1044" s="505"/>
      <c r="E1044" s="425"/>
      <c r="F1044" s="505"/>
      <c r="G1044" s="505"/>
      <c r="H1044" s="505"/>
      <c r="I1044" s="505"/>
      <c r="J1044" s="505"/>
      <c r="K1044" s="1170" t="s">
        <v>747</v>
      </c>
      <c r="L1044" s="1166"/>
      <c r="M1044" s="1166"/>
      <c r="N1044" s="1166"/>
      <c r="O1044" s="1166">
        <f t="shared" si="173"/>
        <v>0</v>
      </c>
      <c r="P1044" s="1166"/>
      <c r="Q1044" s="1166"/>
      <c r="R1044" s="1166"/>
      <c r="S1044" s="1166"/>
      <c r="T1044" s="1166"/>
      <c r="U1044" s="1166"/>
      <c r="V1044" s="1166"/>
      <c r="W1044" s="1166"/>
      <c r="X1044" s="1166"/>
      <c r="Y1044" s="1166"/>
      <c r="Z1044" s="1166"/>
      <c r="AA1044" s="1166"/>
      <c r="AB1044" s="1166" t="e">
        <f t="shared" si="174"/>
        <v>#DIV/0!</v>
      </c>
      <c r="AC1044" s="729"/>
    </row>
    <row r="1045" spans="1:29" ht="18.75" customHeight="1" thickTop="1" thickBot="1" x14ac:dyDescent="0.3">
      <c r="A1045" s="425" t="s">
        <v>216</v>
      </c>
      <c r="B1045" s="505" t="s">
        <v>243</v>
      </c>
      <c r="C1045" s="505" t="s">
        <v>305</v>
      </c>
      <c r="D1045" s="505"/>
      <c r="E1045" s="425"/>
      <c r="F1045" s="505"/>
      <c r="G1045" s="505"/>
      <c r="H1045" s="505"/>
      <c r="I1045" s="505"/>
      <c r="J1045" s="505"/>
      <c r="K1045" s="1170" t="s">
        <v>748</v>
      </c>
      <c r="L1045" s="1166"/>
      <c r="M1045" s="1166"/>
      <c r="N1045" s="1166"/>
      <c r="O1045" s="1166">
        <f t="shared" si="173"/>
        <v>0</v>
      </c>
      <c r="P1045" s="1166"/>
      <c r="Q1045" s="1166"/>
      <c r="R1045" s="1166"/>
      <c r="S1045" s="1166"/>
      <c r="T1045" s="1166"/>
      <c r="U1045" s="1166"/>
      <c r="V1045" s="1166"/>
      <c r="W1045" s="1166"/>
      <c r="X1045" s="1166"/>
      <c r="Y1045" s="1166"/>
      <c r="Z1045" s="1166"/>
      <c r="AA1045" s="1166"/>
      <c r="AB1045" s="1166" t="e">
        <f t="shared" si="174"/>
        <v>#DIV/0!</v>
      </c>
      <c r="AC1045" s="729"/>
    </row>
    <row r="1046" spans="1:29" ht="36" customHeight="1" thickTop="1" x14ac:dyDescent="0.25"/>
  </sheetData>
  <autoFilter ref="A5:GI523">
    <filterColumn colId="0" showButton="0"/>
    <filterColumn colId="1" showButton="0"/>
    <filterColumn colId="2" showButton="0"/>
    <filterColumn colId="3" showButton="0"/>
    <filterColumn colId="4" showButton="0"/>
    <filterColumn colId="5" showButton="0"/>
    <filterColumn colId="6" showButton="0"/>
    <filterColumn colId="7" showButton="0"/>
    <filterColumn colId="12" showButton="0"/>
    <filterColumn colId="15" showButton="0"/>
    <filterColumn colId="16" showButton="0"/>
    <filterColumn colId="17" showButton="0"/>
  </autoFilter>
  <mergeCells count="16">
    <mergeCell ref="AC5:AC6"/>
    <mergeCell ref="A1:AB1"/>
    <mergeCell ref="A2:AB2"/>
    <mergeCell ref="A3:AB3"/>
    <mergeCell ref="A4:AB4"/>
    <mergeCell ref="P5:W5"/>
    <mergeCell ref="Z5:Z6"/>
    <mergeCell ref="AA5:AA6"/>
    <mergeCell ref="AB5:AB6"/>
    <mergeCell ref="Y5:Y6"/>
    <mergeCell ref="A5:I5"/>
    <mergeCell ref="K5:K6"/>
    <mergeCell ref="L5:L6"/>
    <mergeCell ref="M5:N5"/>
    <mergeCell ref="O5:O6"/>
    <mergeCell ref="X5:X6"/>
  </mergeCells>
  <printOptions horizontalCentered="1" verticalCentered="1"/>
  <pageMargins left="0.78740157480314965" right="0.78740157480314965" top="0.98425196850393704" bottom="0.98425196850393704" header="0" footer="0"/>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99"/>
  <sheetViews>
    <sheetView topLeftCell="H1" zoomScale="110" zoomScaleNormal="110" zoomScaleSheetLayoutView="100" workbookViewId="0">
      <selection activeCell="Z85" sqref="Z85"/>
    </sheetView>
  </sheetViews>
  <sheetFormatPr baseColWidth="10" defaultColWidth="14.42578125" defaultRowHeight="15" x14ac:dyDescent="0.25"/>
  <cols>
    <col min="1" max="1" width="15.140625" hidden="1" customWidth="1"/>
    <col min="2" max="3" width="13.28515625" hidden="1" customWidth="1"/>
    <col min="4" max="4" width="12" hidden="1" customWidth="1"/>
    <col min="5" max="7" width="9" hidden="1" customWidth="1"/>
    <col min="8" max="8" width="74.42578125" bestFit="1" customWidth="1"/>
    <col min="9" max="9" width="22.42578125" style="432" hidden="1" customWidth="1"/>
    <col min="10" max="10" width="20.7109375" hidden="1" customWidth="1"/>
    <col min="11" max="12" width="15.140625" bestFit="1" customWidth="1"/>
    <col min="13" max="13" width="18.42578125" bestFit="1" customWidth="1"/>
    <col min="14" max="14" width="17.7109375" bestFit="1" customWidth="1"/>
    <col min="15" max="16" width="15.140625" bestFit="1" customWidth="1"/>
    <col min="17" max="17" width="18.42578125" bestFit="1" customWidth="1"/>
    <col min="18" max="18" width="17.7109375" bestFit="1" customWidth="1"/>
    <col min="19" max="19" width="15.140625" bestFit="1" customWidth="1"/>
    <col min="20" max="20" width="8.140625" bestFit="1" customWidth="1"/>
    <col min="21" max="21" width="18.42578125" bestFit="1" customWidth="1"/>
    <col min="22" max="22" width="17.7109375" bestFit="1" customWidth="1"/>
    <col min="23" max="23" width="15.140625" bestFit="1" customWidth="1"/>
    <col min="24" max="24" width="8.140625" bestFit="1" customWidth="1"/>
    <col min="25" max="27" width="19.7109375" bestFit="1" customWidth="1"/>
    <col min="28" max="28" width="18.42578125" bestFit="1" customWidth="1"/>
    <col min="29" max="29" width="22.140625" bestFit="1" customWidth="1"/>
  </cols>
  <sheetData>
    <row r="1" spans="1:29" ht="15.75" thickBot="1" x14ac:dyDescent="0.3"/>
    <row r="2" spans="1:29" ht="30.75" customHeight="1" thickTop="1" thickBot="1" x14ac:dyDescent="0.3">
      <c r="A2" s="1367" t="s">
        <v>201</v>
      </c>
      <c r="B2" s="1367" t="s">
        <v>202</v>
      </c>
      <c r="C2" s="1369" t="s">
        <v>203</v>
      </c>
      <c r="D2" s="1367" t="s">
        <v>204</v>
      </c>
      <c r="E2" s="1367" t="s">
        <v>205</v>
      </c>
      <c r="F2" s="1367" t="s">
        <v>206</v>
      </c>
      <c r="G2" s="1367" t="s">
        <v>207</v>
      </c>
      <c r="H2" s="1369" t="s">
        <v>779</v>
      </c>
      <c r="I2" s="1371" t="s">
        <v>780</v>
      </c>
      <c r="J2" s="1372"/>
      <c r="K2" s="1372"/>
      <c r="L2" s="1373"/>
      <c r="M2" s="1371" t="s">
        <v>781</v>
      </c>
      <c r="N2" s="1372"/>
      <c r="O2" s="1372"/>
      <c r="P2" s="1373"/>
      <c r="Q2" s="1371" t="s">
        <v>782</v>
      </c>
      <c r="R2" s="1372"/>
      <c r="S2" s="1372"/>
      <c r="T2" s="1373"/>
      <c r="U2" s="1371" t="s">
        <v>783</v>
      </c>
      <c r="V2" s="1372"/>
      <c r="W2" s="1372"/>
      <c r="X2" s="1373"/>
      <c r="Y2" s="1371" t="s">
        <v>784</v>
      </c>
      <c r="Z2" s="1372"/>
      <c r="AA2" s="1372"/>
      <c r="AB2" s="1373"/>
      <c r="AC2" s="433" t="s">
        <v>785</v>
      </c>
    </row>
    <row r="3" spans="1:29" ht="24" thickTop="1" thickBot="1" x14ac:dyDescent="0.3">
      <c r="A3" s="1368"/>
      <c r="B3" s="1368"/>
      <c r="C3" s="1370"/>
      <c r="D3" s="1368"/>
      <c r="E3" s="1368"/>
      <c r="F3" s="1368"/>
      <c r="G3" s="1368"/>
      <c r="H3" s="1370"/>
      <c r="I3" s="434" t="s">
        <v>786</v>
      </c>
      <c r="J3" s="600" t="s">
        <v>787</v>
      </c>
      <c r="K3" s="600" t="s">
        <v>788</v>
      </c>
      <c r="L3" s="600" t="s">
        <v>789</v>
      </c>
      <c r="M3" s="600" t="s">
        <v>786</v>
      </c>
      <c r="N3" s="600" t="s">
        <v>787</v>
      </c>
      <c r="O3" s="600" t="s">
        <v>788</v>
      </c>
      <c r="P3" s="600" t="s">
        <v>789</v>
      </c>
      <c r="Q3" s="600" t="s">
        <v>786</v>
      </c>
      <c r="R3" s="600" t="s">
        <v>787</v>
      </c>
      <c r="S3" s="600" t="s">
        <v>788</v>
      </c>
      <c r="T3" s="600" t="s">
        <v>789</v>
      </c>
      <c r="U3" s="600" t="s">
        <v>786</v>
      </c>
      <c r="V3" s="600" t="s">
        <v>787</v>
      </c>
      <c r="W3" s="600" t="s">
        <v>788</v>
      </c>
      <c r="X3" s="600" t="s">
        <v>789</v>
      </c>
      <c r="Y3" s="600" t="s">
        <v>786</v>
      </c>
      <c r="Z3" s="600" t="s">
        <v>787</v>
      </c>
      <c r="AA3" s="600" t="s">
        <v>788</v>
      </c>
      <c r="AB3" s="600" t="s">
        <v>790</v>
      </c>
      <c r="AC3" s="600"/>
    </row>
    <row r="4" spans="1:29" ht="16.5" hidden="1" thickTop="1" thickBot="1" x14ac:dyDescent="0.3">
      <c r="A4" s="435" t="s">
        <v>227</v>
      </c>
      <c r="B4" s="435" t="s">
        <v>220</v>
      </c>
      <c r="C4" s="435"/>
      <c r="D4" s="435"/>
      <c r="E4" s="435"/>
      <c r="F4" s="435"/>
      <c r="G4" s="435"/>
      <c r="H4" s="436" t="s">
        <v>791</v>
      </c>
      <c r="I4" s="612">
        <f>+I5+I6+I9+I24</f>
        <v>20374947749</v>
      </c>
      <c r="J4" s="612">
        <f>+J5+J6+J9+J24</f>
        <v>18272907722</v>
      </c>
      <c r="K4" s="612">
        <f t="shared" ref="K4:X4" si="0">+K5+K6+K9+K24</f>
        <v>17779813305</v>
      </c>
      <c r="L4" s="612">
        <f t="shared" si="0"/>
        <v>17384646788</v>
      </c>
      <c r="M4" s="612">
        <f>+M5+M6+M9+M24+M17</f>
        <v>2503700000</v>
      </c>
      <c r="N4" s="612">
        <f t="shared" ref="N4:P4" si="1">+N5+N6+N9+N24+N17</f>
        <v>2500245082</v>
      </c>
      <c r="O4" s="612">
        <f t="shared" si="1"/>
        <v>2500245082</v>
      </c>
      <c r="P4" s="612">
        <f t="shared" si="1"/>
        <v>2500245082</v>
      </c>
      <c r="Q4" s="438">
        <f>+Q5+Q6+Q9+Q24+Q17</f>
        <v>0</v>
      </c>
      <c r="R4" s="438">
        <f t="shared" ref="R4:T4" si="2">+R5+R6+R9+R24+R17</f>
        <v>0</v>
      </c>
      <c r="S4" s="438">
        <f t="shared" si="2"/>
        <v>0</v>
      </c>
      <c r="T4" s="438">
        <f t="shared" si="2"/>
        <v>0</v>
      </c>
      <c r="U4" s="438">
        <f t="shared" si="0"/>
        <v>0</v>
      </c>
      <c r="V4" s="438">
        <f t="shared" si="0"/>
        <v>0</v>
      </c>
      <c r="W4" s="438">
        <f t="shared" si="0"/>
        <v>0</v>
      </c>
      <c r="X4" s="438">
        <f t="shared" si="0"/>
        <v>0</v>
      </c>
      <c r="Y4" s="613">
        <f>+I4+M4+Q4+U4</f>
        <v>22878647749</v>
      </c>
      <c r="Z4" s="613">
        <f t="shared" ref="Z4:AB19" si="3">+J4+N4+R4+V4</f>
        <v>20773152804</v>
      </c>
      <c r="AA4" s="613">
        <f>+K4+O4+S4+W4</f>
        <v>20280058387</v>
      </c>
      <c r="AB4" s="613">
        <f>+L4+P4+T4+X4</f>
        <v>19884891870</v>
      </c>
      <c r="AC4" s="439"/>
    </row>
    <row r="5" spans="1:29" ht="16.5" hidden="1" thickTop="1" thickBot="1" x14ac:dyDescent="0.3">
      <c r="A5" s="440" t="s">
        <v>227</v>
      </c>
      <c r="B5" s="440" t="s">
        <v>220</v>
      </c>
      <c r="C5" s="440" t="s">
        <v>220</v>
      </c>
      <c r="D5" s="440"/>
      <c r="E5" s="440"/>
      <c r="F5" s="440"/>
      <c r="G5" s="440"/>
      <c r="H5" s="441" t="s">
        <v>792</v>
      </c>
      <c r="I5" s="614">
        <v>10246122697</v>
      </c>
      <c r="J5" s="614">
        <v>9519613346</v>
      </c>
      <c r="K5" s="614">
        <v>9519613346</v>
      </c>
      <c r="L5" s="614">
        <v>9226454127</v>
      </c>
      <c r="M5" s="614">
        <v>2430400000</v>
      </c>
      <c r="N5" s="614">
        <v>2428545082</v>
      </c>
      <c r="O5" s="614">
        <v>2428545082</v>
      </c>
      <c r="P5" s="614">
        <v>2428545082</v>
      </c>
      <c r="Q5" s="442">
        <v>0</v>
      </c>
      <c r="R5" s="442">
        <v>0</v>
      </c>
      <c r="S5" s="442">
        <v>0</v>
      </c>
      <c r="T5" s="442">
        <v>0</v>
      </c>
      <c r="U5" s="442"/>
      <c r="V5" s="442"/>
      <c r="W5" s="442"/>
      <c r="X5" s="442"/>
      <c r="Y5" s="442">
        <f t="shared" ref="Y5:AB20" si="4">+I5+M5+Q5+U5</f>
        <v>12676522697</v>
      </c>
      <c r="Z5" s="442">
        <f t="shared" si="3"/>
        <v>11948158428</v>
      </c>
      <c r="AA5" s="442">
        <f t="shared" si="3"/>
        <v>11948158428</v>
      </c>
      <c r="AB5" s="442">
        <f t="shared" si="3"/>
        <v>11654999209</v>
      </c>
      <c r="AC5" s="439"/>
    </row>
    <row r="6" spans="1:29" ht="16.5" hidden="1" thickTop="1" thickBot="1" x14ac:dyDescent="0.3">
      <c r="A6" s="443">
        <v>2</v>
      </c>
      <c r="B6" s="440" t="s">
        <v>220</v>
      </c>
      <c r="C6" s="440" t="s">
        <v>231</v>
      </c>
      <c r="D6" s="440"/>
      <c r="E6" s="440"/>
      <c r="F6" s="440"/>
      <c r="G6" s="440"/>
      <c r="H6" s="441" t="s">
        <v>793</v>
      </c>
      <c r="I6" s="615">
        <f t="shared" ref="I6:X6" si="5">+I7+I8</f>
        <v>7403669569</v>
      </c>
      <c r="J6" s="614">
        <f t="shared" si="5"/>
        <v>6559488948</v>
      </c>
      <c r="K6" s="614">
        <f t="shared" si="5"/>
        <v>6302481115</v>
      </c>
      <c r="L6" s="614">
        <f t="shared" si="5"/>
        <v>6200473817</v>
      </c>
      <c r="M6" s="614">
        <f t="shared" si="5"/>
        <v>49100000</v>
      </c>
      <c r="N6" s="614">
        <f t="shared" si="5"/>
        <v>49100000</v>
      </c>
      <c r="O6" s="614">
        <f t="shared" si="5"/>
        <v>49100000</v>
      </c>
      <c r="P6" s="614">
        <f t="shared" si="5"/>
        <v>49100000</v>
      </c>
      <c r="Q6" s="442">
        <f t="shared" si="5"/>
        <v>0</v>
      </c>
      <c r="R6" s="442">
        <f t="shared" si="5"/>
        <v>0</v>
      </c>
      <c r="S6" s="442">
        <f t="shared" si="5"/>
        <v>0</v>
      </c>
      <c r="T6" s="442">
        <f t="shared" si="5"/>
        <v>0</v>
      </c>
      <c r="U6" s="442">
        <f t="shared" si="5"/>
        <v>0</v>
      </c>
      <c r="V6" s="442">
        <f t="shared" si="5"/>
        <v>0</v>
      </c>
      <c r="W6" s="442">
        <f t="shared" si="5"/>
        <v>0</v>
      </c>
      <c r="X6" s="442">
        <f t="shared" si="5"/>
        <v>0</v>
      </c>
      <c r="Y6" s="442">
        <f t="shared" si="4"/>
        <v>7452769569</v>
      </c>
      <c r="Z6" s="442">
        <f t="shared" si="3"/>
        <v>6608588948</v>
      </c>
      <c r="AA6" s="442">
        <f t="shared" si="3"/>
        <v>6351581115</v>
      </c>
      <c r="AB6" s="442">
        <f t="shared" si="3"/>
        <v>6249573817</v>
      </c>
      <c r="AC6" s="439"/>
    </row>
    <row r="7" spans="1:29" ht="16.5" hidden="1" thickTop="1" thickBot="1" x14ac:dyDescent="0.3">
      <c r="A7" s="444">
        <v>2</v>
      </c>
      <c r="B7" s="445" t="s">
        <v>220</v>
      </c>
      <c r="C7" s="445" t="s">
        <v>231</v>
      </c>
      <c r="D7" s="445" t="s">
        <v>220</v>
      </c>
      <c r="E7" s="446"/>
      <c r="F7" s="446"/>
      <c r="G7" s="446"/>
      <c r="H7" s="447" t="s">
        <v>794</v>
      </c>
      <c r="I7" s="616">
        <v>7032000</v>
      </c>
      <c r="J7" s="616">
        <v>7028000</v>
      </c>
      <c r="K7" s="616">
        <v>2008000</v>
      </c>
      <c r="L7" s="616">
        <v>2008000</v>
      </c>
      <c r="M7" s="616">
        <v>0</v>
      </c>
      <c r="N7" s="616"/>
      <c r="O7" s="616"/>
      <c r="P7" s="616"/>
      <c r="Q7" s="449">
        <v>0</v>
      </c>
      <c r="R7" s="449"/>
      <c r="S7" s="449"/>
      <c r="T7" s="449"/>
      <c r="U7" s="449"/>
      <c r="V7" s="449"/>
      <c r="W7" s="449"/>
      <c r="X7" s="449"/>
      <c r="Y7" s="449">
        <f t="shared" si="4"/>
        <v>7032000</v>
      </c>
      <c r="Z7" s="449">
        <f t="shared" si="3"/>
        <v>7028000</v>
      </c>
      <c r="AA7" s="449">
        <f t="shared" si="3"/>
        <v>2008000</v>
      </c>
      <c r="AB7" s="449">
        <f t="shared" si="3"/>
        <v>2008000</v>
      </c>
      <c r="AC7" s="439"/>
    </row>
    <row r="8" spans="1:29" ht="16.5" hidden="1" thickTop="1" thickBot="1" x14ac:dyDescent="0.3">
      <c r="A8" s="444">
        <v>2</v>
      </c>
      <c r="B8" s="445" t="s">
        <v>220</v>
      </c>
      <c r="C8" s="445" t="s">
        <v>231</v>
      </c>
      <c r="D8" s="445" t="s">
        <v>220</v>
      </c>
      <c r="E8" s="446"/>
      <c r="F8" s="446"/>
      <c r="G8" s="446"/>
      <c r="H8" s="447" t="s">
        <v>795</v>
      </c>
      <c r="I8" s="617">
        <v>7396637569</v>
      </c>
      <c r="J8" s="616">
        <v>6552460948</v>
      </c>
      <c r="K8" s="616">
        <v>6300473115</v>
      </c>
      <c r="L8" s="616">
        <v>6198465817</v>
      </c>
      <c r="M8" s="616">
        <v>49100000</v>
      </c>
      <c r="N8" s="616">
        <v>49100000</v>
      </c>
      <c r="O8" s="616">
        <v>49100000</v>
      </c>
      <c r="P8" s="616">
        <v>49100000</v>
      </c>
      <c r="Q8" s="449">
        <v>0</v>
      </c>
      <c r="R8" s="449">
        <v>0</v>
      </c>
      <c r="S8" s="449">
        <v>0</v>
      </c>
      <c r="T8" s="449">
        <v>0</v>
      </c>
      <c r="U8" s="449"/>
      <c r="V8" s="449"/>
      <c r="W8" s="449"/>
      <c r="X8" s="449"/>
      <c r="Y8" s="449">
        <f t="shared" si="4"/>
        <v>7445737569</v>
      </c>
      <c r="Z8" s="449">
        <f t="shared" si="3"/>
        <v>6601560948</v>
      </c>
      <c r="AA8" s="449">
        <f t="shared" si="3"/>
        <v>6349573115</v>
      </c>
      <c r="AB8" s="449">
        <f t="shared" si="3"/>
        <v>6247565817</v>
      </c>
      <c r="AC8" s="439"/>
    </row>
    <row r="9" spans="1:29" s="450" customFormat="1" ht="16.5" hidden="1" thickTop="1" thickBot="1" x14ac:dyDescent="0.3">
      <c r="A9" s="443">
        <v>2</v>
      </c>
      <c r="B9" s="440" t="s">
        <v>220</v>
      </c>
      <c r="C9" s="440" t="s">
        <v>305</v>
      </c>
      <c r="D9" s="440"/>
      <c r="E9" s="440"/>
      <c r="F9" s="440"/>
      <c r="G9" s="440"/>
      <c r="H9" s="441" t="s">
        <v>796</v>
      </c>
      <c r="I9" s="614">
        <f>+I10</f>
        <v>2458755483</v>
      </c>
      <c r="J9" s="614">
        <f>+J10</f>
        <v>1949959730</v>
      </c>
      <c r="K9" s="614">
        <f t="shared" ref="K9:L9" si="6">+K10</f>
        <v>1713873146</v>
      </c>
      <c r="L9" s="614">
        <f t="shared" si="6"/>
        <v>1713873146</v>
      </c>
      <c r="M9" s="614">
        <f t="shared" ref="M9:X9" si="7">+M10+M15+M21</f>
        <v>0</v>
      </c>
      <c r="N9" s="614">
        <f t="shared" si="7"/>
        <v>0</v>
      </c>
      <c r="O9" s="614">
        <f t="shared" si="7"/>
        <v>0</v>
      </c>
      <c r="P9" s="614">
        <f t="shared" si="7"/>
        <v>0</v>
      </c>
      <c r="Q9" s="442">
        <f t="shared" si="7"/>
        <v>0</v>
      </c>
      <c r="R9" s="442">
        <f t="shared" si="7"/>
        <v>0</v>
      </c>
      <c r="S9" s="442">
        <f t="shared" si="7"/>
        <v>0</v>
      </c>
      <c r="T9" s="442">
        <f t="shared" si="7"/>
        <v>0</v>
      </c>
      <c r="U9" s="442">
        <f t="shared" si="7"/>
        <v>0</v>
      </c>
      <c r="V9" s="442">
        <f t="shared" si="7"/>
        <v>0</v>
      </c>
      <c r="W9" s="442">
        <f t="shared" si="7"/>
        <v>0</v>
      </c>
      <c r="X9" s="442">
        <f t="shared" si="7"/>
        <v>0</v>
      </c>
      <c r="Y9" s="442">
        <f t="shared" si="4"/>
        <v>2458755483</v>
      </c>
      <c r="Z9" s="442">
        <f t="shared" si="3"/>
        <v>1949959730</v>
      </c>
      <c r="AA9" s="442">
        <f t="shared" si="3"/>
        <v>1713873146</v>
      </c>
      <c r="AB9" s="442">
        <f t="shared" si="3"/>
        <v>1713873146</v>
      </c>
      <c r="AC9" s="439"/>
    </row>
    <row r="10" spans="1:29" s="450" customFormat="1" ht="16.5" hidden="1" thickTop="1" thickBot="1" x14ac:dyDescent="0.3">
      <c r="A10" s="451">
        <v>2</v>
      </c>
      <c r="B10" s="452" t="s">
        <v>220</v>
      </c>
      <c r="C10" s="452" t="s">
        <v>305</v>
      </c>
      <c r="D10" s="452" t="s">
        <v>220</v>
      </c>
      <c r="E10" s="452"/>
      <c r="F10" s="452"/>
      <c r="G10" s="452"/>
      <c r="H10" s="453" t="s">
        <v>797</v>
      </c>
      <c r="I10" s="618">
        <f>+I11+I15+I17+I21</f>
        <v>2458755483</v>
      </c>
      <c r="J10" s="618">
        <f>+J11+J15+J17+J21</f>
        <v>1949959730</v>
      </c>
      <c r="K10" s="618">
        <f>+K11+K15+K17+K21</f>
        <v>1713873146</v>
      </c>
      <c r="L10" s="618">
        <f>+L11+L15+L17+L21</f>
        <v>1713873146</v>
      </c>
      <c r="M10" s="618">
        <f t="shared" ref="M10:X10" si="8">+M11+M15</f>
        <v>0</v>
      </c>
      <c r="N10" s="618">
        <f t="shared" si="8"/>
        <v>0</v>
      </c>
      <c r="O10" s="618">
        <f t="shared" si="8"/>
        <v>0</v>
      </c>
      <c r="P10" s="618">
        <f t="shared" si="8"/>
        <v>0</v>
      </c>
      <c r="Q10" s="454">
        <f t="shared" si="8"/>
        <v>0</v>
      </c>
      <c r="R10" s="454">
        <f t="shared" si="8"/>
        <v>0</v>
      </c>
      <c r="S10" s="454">
        <f t="shared" si="8"/>
        <v>0</v>
      </c>
      <c r="T10" s="454">
        <f t="shared" si="8"/>
        <v>0</v>
      </c>
      <c r="U10" s="454">
        <f t="shared" si="8"/>
        <v>0</v>
      </c>
      <c r="V10" s="454">
        <f t="shared" si="8"/>
        <v>0</v>
      </c>
      <c r="W10" s="454">
        <f t="shared" si="8"/>
        <v>0</v>
      </c>
      <c r="X10" s="454">
        <f t="shared" si="8"/>
        <v>0</v>
      </c>
      <c r="Y10" s="454">
        <f t="shared" si="4"/>
        <v>2458755483</v>
      </c>
      <c r="Z10" s="454">
        <f t="shared" si="3"/>
        <v>1949959730</v>
      </c>
      <c r="AA10" s="454">
        <f t="shared" si="3"/>
        <v>1713873146</v>
      </c>
      <c r="AB10" s="454">
        <f t="shared" si="3"/>
        <v>1713873146</v>
      </c>
      <c r="AC10" s="439"/>
    </row>
    <row r="11" spans="1:29" s="457" customFormat="1" ht="16.5" hidden="1" thickTop="1" thickBot="1" x14ac:dyDescent="0.3">
      <c r="A11" s="444"/>
      <c r="B11" s="445" t="s">
        <v>220</v>
      </c>
      <c r="C11" s="445" t="s">
        <v>305</v>
      </c>
      <c r="D11" s="445" t="s">
        <v>220</v>
      </c>
      <c r="E11" s="445" t="s">
        <v>220</v>
      </c>
      <c r="F11" s="445"/>
      <c r="G11" s="445"/>
      <c r="H11" s="447" t="s">
        <v>798</v>
      </c>
      <c r="I11" s="619">
        <f>+I12</f>
        <v>2015700000</v>
      </c>
      <c r="J11" s="619">
        <f t="shared" ref="J11:X11" si="9">+J12</f>
        <v>1580013302</v>
      </c>
      <c r="K11" s="619">
        <f>+K12</f>
        <v>1580013302</v>
      </c>
      <c r="L11" s="619">
        <f t="shared" si="9"/>
        <v>1580013302</v>
      </c>
      <c r="M11" s="619">
        <f t="shared" si="9"/>
        <v>0</v>
      </c>
      <c r="N11" s="619">
        <f t="shared" si="9"/>
        <v>0</v>
      </c>
      <c r="O11" s="619">
        <f t="shared" si="9"/>
        <v>0</v>
      </c>
      <c r="P11" s="619">
        <f t="shared" si="9"/>
        <v>0</v>
      </c>
      <c r="Q11" s="456">
        <f t="shared" si="9"/>
        <v>0</v>
      </c>
      <c r="R11" s="456">
        <f t="shared" si="9"/>
        <v>0</v>
      </c>
      <c r="S11" s="456">
        <f t="shared" si="9"/>
        <v>0</v>
      </c>
      <c r="T11" s="456">
        <f t="shared" si="9"/>
        <v>0</v>
      </c>
      <c r="U11" s="456">
        <f t="shared" si="9"/>
        <v>0</v>
      </c>
      <c r="V11" s="456">
        <f t="shared" si="9"/>
        <v>0</v>
      </c>
      <c r="W11" s="456">
        <f t="shared" si="9"/>
        <v>0</v>
      </c>
      <c r="X11" s="456">
        <f t="shared" si="9"/>
        <v>0</v>
      </c>
      <c r="Y11" s="456">
        <f t="shared" si="4"/>
        <v>2015700000</v>
      </c>
      <c r="Z11" s="456">
        <f t="shared" si="3"/>
        <v>1580013302</v>
      </c>
      <c r="AA11" s="456">
        <f t="shared" si="3"/>
        <v>1580013302</v>
      </c>
      <c r="AB11" s="456">
        <f t="shared" si="3"/>
        <v>1580013302</v>
      </c>
      <c r="AC11" s="439"/>
    </row>
    <row r="12" spans="1:29" ht="16.5" hidden="1" thickTop="1" thickBot="1" x14ac:dyDescent="0.3">
      <c r="A12" s="444">
        <v>2</v>
      </c>
      <c r="B12" s="445" t="s">
        <v>220</v>
      </c>
      <c r="C12" s="445" t="s">
        <v>305</v>
      </c>
      <c r="D12" s="445" t="s">
        <v>220</v>
      </c>
      <c r="E12" s="445" t="s">
        <v>220</v>
      </c>
      <c r="F12" s="445" t="s">
        <v>220</v>
      </c>
      <c r="G12" s="446"/>
      <c r="H12" s="447" t="s">
        <v>799</v>
      </c>
      <c r="I12" s="730">
        <f>+I13+I14</f>
        <v>2015700000</v>
      </c>
      <c r="J12" s="616">
        <f t="shared" ref="J12:X12" si="10">+J13+J14</f>
        <v>1580013302</v>
      </c>
      <c r="K12" s="616">
        <f>+K13+K14</f>
        <v>1580013302</v>
      </c>
      <c r="L12" s="616">
        <f t="shared" si="10"/>
        <v>1580013302</v>
      </c>
      <c r="M12" s="616">
        <f t="shared" si="10"/>
        <v>0</v>
      </c>
      <c r="N12" s="616">
        <f t="shared" si="10"/>
        <v>0</v>
      </c>
      <c r="O12" s="616">
        <f t="shared" si="10"/>
        <v>0</v>
      </c>
      <c r="P12" s="616">
        <f t="shared" si="10"/>
        <v>0</v>
      </c>
      <c r="Q12" s="449">
        <f t="shared" si="10"/>
        <v>0</v>
      </c>
      <c r="R12" s="449">
        <f t="shared" si="10"/>
        <v>0</v>
      </c>
      <c r="S12" s="449">
        <f t="shared" si="10"/>
        <v>0</v>
      </c>
      <c r="T12" s="449">
        <f t="shared" si="10"/>
        <v>0</v>
      </c>
      <c r="U12" s="449">
        <f t="shared" si="10"/>
        <v>0</v>
      </c>
      <c r="V12" s="449">
        <f t="shared" si="10"/>
        <v>0</v>
      </c>
      <c r="W12" s="449">
        <f t="shared" si="10"/>
        <v>0</v>
      </c>
      <c r="X12" s="449">
        <f t="shared" si="10"/>
        <v>0</v>
      </c>
      <c r="Y12" s="1172">
        <f t="shared" si="4"/>
        <v>2015700000</v>
      </c>
      <c r="Z12" s="449">
        <f t="shared" si="3"/>
        <v>1580013302</v>
      </c>
      <c r="AA12" s="449">
        <f t="shared" si="3"/>
        <v>1580013302</v>
      </c>
      <c r="AB12" s="449">
        <f t="shared" si="3"/>
        <v>1580013302</v>
      </c>
      <c r="AC12" s="439"/>
    </row>
    <row r="13" spans="1:29" ht="16.5" hidden="1" thickTop="1" thickBot="1" x14ac:dyDescent="0.3">
      <c r="A13" s="444">
        <v>2</v>
      </c>
      <c r="B13" s="445" t="s">
        <v>220</v>
      </c>
      <c r="C13" s="445" t="s">
        <v>305</v>
      </c>
      <c r="D13" s="445" t="s">
        <v>220</v>
      </c>
      <c r="E13" s="445" t="s">
        <v>220</v>
      </c>
      <c r="F13" s="445" t="s">
        <v>220</v>
      </c>
      <c r="G13" s="445" t="s">
        <v>220</v>
      </c>
      <c r="H13" s="447" t="s">
        <v>800</v>
      </c>
      <c r="I13" s="616">
        <v>1192300000</v>
      </c>
      <c r="J13" s="616">
        <v>1191999255</v>
      </c>
      <c r="K13" s="616">
        <v>1191999255</v>
      </c>
      <c r="L13" s="616">
        <v>1191999255</v>
      </c>
      <c r="M13" s="616"/>
      <c r="N13" s="616"/>
      <c r="O13" s="616"/>
      <c r="P13" s="616"/>
      <c r="Q13" s="449"/>
      <c r="R13" s="449"/>
      <c r="S13" s="449"/>
      <c r="T13" s="449"/>
      <c r="U13" s="449"/>
      <c r="V13" s="449"/>
      <c r="W13" s="449"/>
      <c r="X13" s="449"/>
      <c r="Y13" s="449">
        <f t="shared" si="4"/>
        <v>1192300000</v>
      </c>
      <c r="Z13" s="449">
        <f t="shared" si="3"/>
        <v>1191999255</v>
      </c>
      <c r="AA13" s="449">
        <f t="shared" si="3"/>
        <v>1191999255</v>
      </c>
      <c r="AB13" s="449">
        <f t="shared" si="3"/>
        <v>1191999255</v>
      </c>
      <c r="AC13" s="439"/>
    </row>
    <row r="14" spans="1:29" ht="16.5" hidden="1" thickTop="1" thickBot="1" x14ac:dyDescent="0.3">
      <c r="A14" s="444">
        <v>2</v>
      </c>
      <c r="B14" s="445" t="s">
        <v>220</v>
      </c>
      <c r="C14" s="445" t="s">
        <v>305</v>
      </c>
      <c r="D14" s="445" t="s">
        <v>220</v>
      </c>
      <c r="E14" s="445" t="s">
        <v>220</v>
      </c>
      <c r="F14" s="445" t="s">
        <v>220</v>
      </c>
      <c r="G14" s="445" t="s">
        <v>231</v>
      </c>
      <c r="H14" s="447" t="s">
        <v>801</v>
      </c>
      <c r="I14" s="616">
        <v>823400000</v>
      </c>
      <c r="J14" s="616">
        <v>388014047</v>
      </c>
      <c r="K14" s="616">
        <v>388014047</v>
      </c>
      <c r="L14" s="616">
        <v>388014047</v>
      </c>
      <c r="M14" s="616"/>
      <c r="N14" s="616"/>
      <c r="O14" s="616"/>
      <c r="P14" s="616"/>
      <c r="Q14" s="449"/>
      <c r="R14" s="449"/>
      <c r="S14" s="449"/>
      <c r="T14" s="449"/>
      <c r="U14" s="449"/>
      <c r="V14" s="449"/>
      <c r="W14" s="449"/>
      <c r="X14" s="449"/>
      <c r="Y14" s="449">
        <f t="shared" si="4"/>
        <v>823400000</v>
      </c>
      <c r="Z14" s="449">
        <f t="shared" si="3"/>
        <v>388014047</v>
      </c>
      <c r="AA14" s="449">
        <f t="shared" si="3"/>
        <v>388014047</v>
      </c>
      <c r="AB14" s="449">
        <f t="shared" si="3"/>
        <v>388014047</v>
      </c>
      <c r="AC14" s="439"/>
    </row>
    <row r="15" spans="1:29" ht="16.5" hidden="1" thickTop="1" thickBot="1" x14ac:dyDescent="0.3">
      <c r="A15" s="444">
        <v>2</v>
      </c>
      <c r="B15" s="445" t="s">
        <v>220</v>
      </c>
      <c r="C15" s="445" t="s">
        <v>305</v>
      </c>
      <c r="D15" s="445" t="s">
        <v>220</v>
      </c>
      <c r="E15" s="445" t="s">
        <v>231</v>
      </c>
      <c r="F15" s="446"/>
      <c r="G15" s="446"/>
      <c r="H15" s="447" t="s">
        <v>802</v>
      </c>
      <c r="I15" s="616">
        <f>+I16</f>
        <v>47355483</v>
      </c>
      <c r="J15" s="616">
        <f t="shared" ref="J15:X15" si="11">+J16</f>
        <v>41573326</v>
      </c>
      <c r="K15" s="616">
        <f t="shared" si="11"/>
        <v>41573326</v>
      </c>
      <c r="L15" s="616">
        <f t="shared" si="11"/>
        <v>41573326</v>
      </c>
      <c r="M15" s="616">
        <f t="shared" si="11"/>
        <v>0</v>
      </c>
      <c r="N15" s="616">
        <f t="shared" si="11"/>
        <v>0</v>
      </c>
      <c r="O15" s="616">
        <f t="shared" si="11"/>
        <v>0</v>
      </c>
      <c r="P15" s="616">
        <f t="shared" si="11"/>
        <v>0</v>
      </c>
      <c r="Q15" s="449">
        <f t="shared" si="11"/>
        <v>0</v>
      </c>
      <c r="R15" s="449">
        <f t="shared" si="11"/>
        <v>0</v>
      </c>
      <c r="S15" s="449">
        <f t="shared" si="11"/>
        <v>0</v>
      </c>
      <c r="T15" s="449">
        <f t="shared" si="11"/>
        <v>0</v>
      </c>
      <c r="U15" s="449">
        <f t="shared" si="11"/>
        <v>0</v>
      </c>
      <c r="V15" s="449">
        <f t="shared" si="11"/>
        <v>0</v>
      </c>
      <c r="W15" s="449">
        <f t="shared" si="11"/>
        <v>0</v>
      </c>
      <c r="X15" s="449">
        <f t="shared" si="11"/>
        <v>0</v>
      </c>
      <c r="Y15" s="449">
        <f t="shared" si="4"/>
        <v>47355483</v>
      </c>
      <c r="Z15" s="449">
        <f t="shared" si="3"/>
        <v>41573326</v>
      </c>
      <c r="AA15" s="449">
        <f t="shared" si="3"/>
        <v>41573326</v>
      </c>
      <c r="AB15" s="449">
        <f t="shared" si="3"/>
        <v>41573326</v>
      </c>
      <c r="AC15" s="439"/>
    </row>
    <row r="16" spans="1:29" ht="16.5" hidden="1" thickTop="1" thickBot="1" x14ac:dyDescent="0.3">
      <c r="A16" s="444">
        <v>2</v>
      </c>
      <c r="B16" s="445" t="s">
        <v>220</v>
      </c>
      <c r="C16" s="445" t="s">
        <v>305</v>
      </c>
      <c r="D16" s="445" t="s">
        <v>220</v>
      </c>
      <c r="E16" s="445" t="s">
        <v>231</v>
      </c>
      <c r="F16" s="445" t="s">
        <v>220</v>
      </c>
      <c r="G16" s="445"/>
      <c r="H16" s="447" t="s">
        <v>803</v>
      </c>
      <c r="I16" s="616">
        <v>47355483</v>
      </c>
      <c r="J16" s="616">
        <v>41573326</v>
      </c>
      <c r="K16" s="616">
        <v>41573326</v>
      </c>
      <c r="L16" s="616">
        <v>41573326</v>
      </c>
      <c r="M16" s="616"/>
      <c r="N16" s="616"/>
      <c r="O16" s="616"/>
      <c r="P16" s="616"/>
      <c r="Q16" s="449"/>
      <c r="R16" s="449"/>
      <c r="S16" s="449"/>
      <c r="T16" s="449"/>
      <c r="U16" s="449"/>
      <c r="V16" s="449"/>
      <c r="W16" s="449"/>
      <c r="X16" s="449"/>
      <c r="Y16" s="449">
        <f t="shared" si="4"/>
        <v>47355483</v>
      </c>
      <c r="Z16" s="449">
        <f t="shared" si="3"/>
        <v>41573326</v>
      </c>
      <c r="AA16" s="449">
        <f t="shared" si="3"/>
        <v>41573326</v>
      </c>
      <c r="AB16" s="449">
        <f t="shared" si="3"/>
        <v>41573326</v>
      </c>
      <c r="AC16" s="439"/>
    </row>
    <row r="17" spans="1:29" s="450" customFormat="1" ht="16.5" hidden="1" thickTop="1" thickBot="1" x14ac:dyDescent="0.3">
      <c r="A17" s="451">
        <v>2</v>
      </c>
      <c r="B17" s="452" t="s">
        <v>220</v>
      </c>
      <c r="C17" s="452" t="s">
        <v>305</v>
      </c>
      <c r="D17" s="452" t="s">
        <v>231</v>
      </c>
      <c r="E17" s="452"/>
      <c r="F17" s="452"/>
      <c r="G17" s="452"/>
      <c r="H17" s="453" t="s">
        <v>804</v>
      </c>
      <c r="I17" s="618">
        <f>+I18</f>
        <v>385700000</v>
      </c>
      <c r="J17" s="618">
        <f t="shared" ref="J17:X17" si="12">+J18</f>
        <v>328373102</v>
      </c>
      <c r="K17" s="618">
        <f t="shared" si="12"/>
        <v>92286518</v>
      </c>
      <c r="L17" s="618">
        <f t="shared" si="12"/>
        <v>92286518</v>
      </c>
      <c r="M17" s="618">
        <f t="shared" si="12"/>
        <v>4300000</v>
      </c>
      <c r="N17" s="618">
        <f t="shared" si="12"/>
        <v>4300000</v>
      </c>
      <c r="O17" s="618">
        <f t="shared" si="12"/>
        <v>4300000</v>
      </c>
      <c r="P17" s="618">
        <f t="shared" si="12"/>
        <v>4300000</v>
      </c>
      <c r="Q17" s="454">
        <f t="shared" si="12"/>
        <v>0</v>
      </c>
      <c r="R17" s="454">
        <f t="shared" si="12"/>
        <v>0</v>
      </c>
      <c r="S17" s="454">
        <f t="shared" si="12"/>
        <v>0</v>
      </c>
      <c r="T17" s="454">
        <f t="shared" si="12"/>
        <v>0</v>
      </c>
      <c r="U17" s="454">
        <f t="shared" si="12"/>
        <v>0</v>
      </c>
      <c r="V17" s="454">
        <f t="shared" si="12"/>
        <v>0</v>
      </c>
      <c r="W17" s="454">
        <f t="shared" si="12"/>
        <v>0</v>
      </c>
      <c r="X17" s="454">
        <f t="shared" si="12"/>
        <v>0</v>
      </c>
      <c r="Y17" s="454">
        <f t="shared" si="4"/>
        <v>390000000</v>
      </c>
      <c r="Z17" s="454">
        <f t="shared" si="3"/>
        <v>332673102</v>
      </c>
      <c r="AA17" s="454">
        <f t="shared" si="3"/>
        <v>96586518</v>
      </c>
      <c r="AB17" s="454">
        <f t="shared" si="3"/>
        <v>96586518</v>
      </c>
      <c r="AC17" s="439"/>
    </row>
    <row r="18" spans="1:29" ht="16.5" hidden="1" thickTop="1" thickBot="1" x14ac:dyDescent="0.3">
      <c r="A18" s="444">
        <v>2</v>
      </c>
      <c r="B18" s="445" t="s">
        <v>220</v>
      </c>
      <c r="C18" s="445" t="s">
        <v>305</v>
      </c>
      <c r="D18" s="445" t="s">
        <v>231</v>
      </c>
      <c r="E18" s="445" t="s">
        <v>220</v>
      </c>
      <c r="F18" s="445"/>
      <c r="G18" s="445"/>
      <c r="H18" s="447" t="s">
        <v>805</v>
      </c>
      <c r="I18" s="616">
        <v>385700000</v>
      </c>
      <c r="J18" s="616">
        <v>328373102</v>
      </c>
      <c r="K18" s="616">
        <v>92286518</v>
      </c>
      <c r="L18" s="616">
        <v>92286518</v>
      </c>
      <c r="M18" s="616">
        <v>4300000</v>
      </c>
      <c r="N18" s="616">
        <v>4300000</v>
      </c>
      <c r="O18" s="616">
        <v>4300000</v>
      </c>
      <c r="P18" s="616">
        <v>4300000</v>
      </c>
      <c r="Q18" s="449">
        <v>0</v>
      </c>
      <c r="R18" s="449">
        <v>0</v>
      </c>
      <c r="S18" s="449">
        <v>0</v>
      </c>
      <c r="T18" s="449">
        <v>0</v>
      </c>
      <c r="U18" s="449">
        <f t="shared" ref="U18:X18" si="13">+U19+U20</f>
        <v>0</v>
      </c>
      <c r="V18" s="449">
        <f t="shared" si="13"/>
        <v>0</v>
      </c>
      <c r="W18" s="449">
        <f t="shared" si="13"/>
        <v>0</v>
      </c>
      <c r="X18" s="449">
        <f t="shared" si="13"/>
        <v>0</v>
      </c>
      <c r="Y18" s="449">
        <f t="shared" si="4"/>
        <v>390000000</v>
      </c>
      <c r="Z18" s="449">
        <f t="shared" si="3"/>
        <v>332673102</v>
      </c>
      <c r="AA18" s="449">
        <f t="shared" si="3"/>
        <v>96586518</v>
      </c>
      <c r="AB18" s="449">
        <f t="shared" si="3"/>
        <v>96586518</v>
      </c>
      <c r="AC18" s="439"/>
    </row>
    <row r="19" spans="1:29" ht="16.5" hidden="1" thickTop="1" thickBot="1" x14ac:dyDescent="0.3">
      <c r="A19" s="444">
        <v>2</v>
      </c>
      <c r="B19" s="445" t="s">
        <v>220</v>
      </c>
      <c r="C19" s="445" t="s">
        <v>305</v>
      </c>
      <c r="D19" s="445" t="s">
        <v>231</v>
      </c>
      <c r="E19" s="445" t="s">
        <v>220</v>
      </c>
      <c r="F19" s="445" t="s">
        <v>220</v>
      </c>
      <c r="G19" s="445"/>
      <c r="H19" s="447" t="s">
        <v>806</v>
      </c>
      <c r="I19" s="616">
        <v>0</v>
      </c>
      <c r="J19" s="616"/>
      <c r="K19" s="616"/>
      <c r="L19" s="616"/>
      <c r="M19" s="616"/>
      <c r="N19" s="616"/>
      <c r="O19" s="616"/>
      <c r="P19" s="616"/>
      <c r="Q19" s="449"/>
      <c r="R19" s="449"/>
      <c r="S19" s="449"/>
      <c r="T19" s="449"/>
      <c r="U19" s="449"/>
      <c r="V19" s="449"/>
      <c r="W19" s="449"/>
      <c r="X19" s="449"/>
      <c r="Y19" s="449">
        <f t="shared" si="4"/>
        <v>0</v>
      </c>
      <c r="Z19" s="449">
        <f t="shared" si="3"/>
        <v>0</v>
      </c>
      <c r="AA19" s="449">
        <f t="shared" si="3"/>
        <v>0</v>
      </c>
      <c r="AB19" s="449">
        <f t="shared" si="3"/>
        <v>0</v>
      </c>
      <c r="AC19" s="439"/>
    </row>
    <row r="20" spans="1:29" ht="16.5" hidden="1" thickTop="1" thickBot="1" x14ac:dyDescent="0.3">
      <c r="A20" s="444">
        <v>2</v>
      </c>
      <c r="B20" s="445" t="s">
        <v>220</v>
      </c>
      <c r="C20" s="445" t="s">
        <v>305</v>
      </c>
      <c r="D20" s="445" t="s">
        <v>231</v>
      </c>
      <c r="E20" s="445" t="s">
        <v>220</v>
      </c>
      <c r="F20" s="445" t="s">
        <v>231</v>
      </c>
      <c r="G20" s="445"/>
      <c r="H20" s="447" t="s">
        <v>807</v>
      </c>
      <c r="I20" s="616">
        <v>0</v>
      </c>
      <c r="J20" s="616"/>
      <c r="K20" s="616"/>
      <c r="L20" s="616"/>
      <c r="M20" s="616"/>
      <c r="N20" s="616"/>
      <c r="O20" s="616"/>
      <c r="P20" s="616"/>
      <c r="Q20" s="449"/>
      <c r="R20" s="449"/>
      <c r="S20" s="449"/>
      <c r="T20" s="449"/>
      <c r="U20" s="449"/>
      <c r="V20" s="449"/>
      <c r="W20" s="449"/>
      <c r="X20" s="449"/>
      <c r="Y20" s="449">
        <f t="shared" si="4"/>
        <v>0</v>
      </c>
      <c r="Z20" s="449">
        <f t="shared" si="4"/>
        <v>0</v>
      </c>
      <c r="AA20" s="449">
        <f t="shared" si="4"/>
        <v>0</v>
      </c>
      <c r="AB20" s="449">
        <f t="shared" si="4"/>
        <v>0</v>
      </c>
      <c r="AC20" s="439"/>
    </row>
    <row r="21" spans="1:29" s="450" customFormat="1" ht="16.5" hidden="1" thickTop="1" thickBot="1" x14ac:dyDescent="0.3">
      <c r="A21" s="451">
        <v>2</v>
      </c>
      <c r="B21" s="452" t="s">
        <v>220</v>
      </c>
      <c r="C21" s="452" t="s">
        <v>305</v>
      </c>
      <c r="D21" s="452" t="s">
        <v>305</v>
      </c>
      <c r="E21" s="452"/>
      <c r="F21" s="452"/>
      <c r="G21" s="452"/>
      <c r="H21" s="453" t="s">
        <v>808</v>
      </c>
      <c r="I21" s="618">
        <f>+I22+I23</f>
        <v>10000000</v>
      </c>
      <c r="J21" s="618">
        <f t="shared" ref="J21:X21" si="14">+J22+J23</f>
        <v>0</v>
      </c>
      <c r="K21" s="618">
        <f t="shared" si="14"/>
        <v>0</v>
      </c>
      <c r="L21" s="618">
        <f t="shared" si="14"/>
        <v>0</v>
      </c>
      <c r="M21" s="618">
        <f t="shared" si="14"/>
        <v>0</v>
      </c>
      <c r="N21" s="618">
        <f t="shared" si="14"/>
        <v>0</v>
      </c>
      <c r="O21" s="618">
        <f t="shared" si="14"/>
        <v>0</v>
      </c>
      <c r="P21" s="618">
        <f t="shared" si="14"/>
        <v>0</v>
      </c>
      <c r="Q21" s="454">
        <f t="shared" si="14"/>
        <v>0</v>
      </c>
      <c r="R21" s="454">
        <f t="shared" si="14"/>
        <v>0</v>
      </c>
      <c r="S21" s="454">
        <f t="shared" si="14"/>
        <v>0</v>
      </c>
      <c r="T21" s="454">
        <f t="shared" si="14"/>
        <v>0</v>
      </c>
      <c r="U21" s="454">
        <f t="shared" si="14"/>
        <v>0</v>
      </c>
      <c r="V21" s="454">
        <f t="shared" si="14"/>
        <v>0</v>
      </c>
      <c r="W21" s="454">
        <f t="shared" si="14"/>
        <v>0</v>
      </c>
      <c r="X21" s="454">
        <f t="shared" si="14"/>
        <v>0</v>
      </c>
      <c r="Y21" s="454">
        <f t="shared" ref="Y21:AB71" si="15">+I21+M21+Q21+U21</f>
        <v>10000000</v>
      </c>
      <c r="Z21" s="454">
        <f t="shared" si="15"/>
        <v>0</v>
      </c>
      <c r="AA21" s="454">
        <f t="shared" si="15"/>
        <v>0</v>
      </c>
      <c r="AB21" s="454">
        <f t="shared" si="15"/>
        <v>0</v>
      </c>
      <c r="AC21" s="439"/>
    </row>
    <row r="22" spans="1:29" ht="16.5" hidden="1" thickTop="1" thickBot="1" x14ac:dyDescent="0.3">
      <c r="A22" s="444">
        <v>2</v>
      </c>
      <c r="B22" s="445" t="s">
        <v>220</v>
      </c>
      <c r="C22" s="445" t="s">
        <v>305</v>
      </c>
      <c r="D22" s="445" t="s">
        <v>305</v>
      </c>
      <c r="E22" s="445" t="s">
        <v>220</v>
      </c>
      <c r="F22" s="445"/>
      <c r="G22" s="445"/>
      <c r="H22" s="447" t="s">
        <v>809</v>
      </c>
      <c r="I22" s="616">
        <v>10000000</v>
      </c>
      <c r="J22" s="616">
        <v>0</v>
      </c>
      <c r="K22" s="616">
        <v>0</v>
      </c>
      <c r="L22" s="616">
        <v>0</v>
      </c>
      <c r="M22" s="616"/>
      <c r="N22" s="616"/>
      <c r="O22" s="616"/>
      <c r="P22" s="616"/>
      <c r="Q22" s="449"/>
      <c r="R22" s="449"/>
      <c r="S22" s="449"/>
      <c r="T22" s="449"/>
      <c r="U22" s="449"/>
      <c r="V22" s="449"/>
      <c r="W22" s="449"/>
      <c r="X22" s="449"/>
      <c r="Y22" s="449">
        <f t="shared" si="15"/>
        <v>10000000</v>
      </c>
      <c r="Z22" s="449">
        <f t="shared" si="15"/>
        <v>0</v>
      </c>
      <c r="AA22" s="449">
        <f t="shared" si="15"/>
        <v>0</v>
      </c>
      <c r="AB22" s="449">
        <f t="shared" si="15"/>
        <v>0</v>
      </c>
      <c r="AC22" s="439"/>
    </row>
    <row r="23" spans="1:29" ht="16.5" hidden="1" thickTop="1" thickBot="1" x14ac:dyDescent="0.3">
      <c r="A23" s="444">
        <v>2</v>
      </c>
      <c r="B23" s="445" t="s">
        <v>220</v>
      </c>
      <c r="C23" s="445" t="s">
        <v>305</v>
      </c>
      <c r="D23" s="445" t="s">
        <v>305</v>
      </c>
      <c r="E23" s="445" t="s">
        <v>231</v>
      </c>
      <c r="F23" s="445"/>
      <c r="G23" s="445"/>
      <c r="H23" s="447" t="s">
        <v>418</v>
      </c>
      <c r="I23" s="616"/>
      <c r="J23" s="616"/>
      <c r="K23" s="616"/>
      <c r="L23" s="616"/>
      <c r="M23" s="616"/>
      <c r="N23" s="616"/>
      <c r="O23" s="616"/>
      <c r="P23" s="616"/>
      <c r="Q23" s="449"/>
      <c r="R23" s="449"/>
      <c r="S23" s="449"/>
      <c r="T23" s="449"/>
      <c r="U23" s="449"/>
      <c r="V23" s="449"/>
      <c r="W23" s="449"/>
      <c r="X23" s="449"/>
      <c r="Y23" s="449">
        <f t="shared" si="15"/>
        <v>0</v>
      </c>
      <c r="Z23" s="449">
        <f t="shared" si="15"/>
        <v>0</v>
      </c>
      <c r="AA23" s="449">
        <f t="shared" si="15"/>
        <v>0</v>
      </c>
      <c r="AB23" s="449">
        <f t="shared" si="15"/>
        <v>0</v>
      </c>
      <c r="AC23" s="439"/>
    </row>
    <row r="24" spans="1:29" ht="16.5" hidden="1" thickTop="1" thickBot="1" x14ac:dyDescent="0.3">
      <c r="A24" s="443">
        <v>2</v>
      </c>
      <c r="B24" s="440" t="s">
        <v>220</v>
      </c>
      <c r="C24" s="440" t="s">
        <v>313</v>
      </c>
      <c r="D24" s="440"/>
      <c r="E24" s="440"/>
      <c r="F24" s="440"/>
      <c r="G24" s="440"/>
      <c r="H24" s="441" t="s">
        <v>810</v>
      </c>
      <c r="I24" s="614">
        <f t="shared" ref="I24:X24" si="16">+I25+I29+I31+I33</f>
        <v>266400000</v>
      </c>
      <c r="J24" s="614">
        <f t="shared" si="16"/>
        <v>243845698</v>
      </c>
      <c r="K24" s="614">
        <f t="shared" si="16"/>
        <v>243845698</v>
      </c>
      <c r="L24" s="614">
        <f t="shared" si="16"/>
        <v>243845698</v>
      </c>
      <c r="M24" s="614">
        <f t="shared" si="16"/>
        <v>19900000</v>
      </c>
      <c r="N24" s="614">
        <f t="shared" si="16"/>
        <v>18300000</v>
      </c>
      <c r="O24" s="614">
        <f t="shared" si="16"/>
        <v>18300000</v>
      </c>
      <c r="P24" s="614">
        <f t="shared" si="16"/>
        <v>18300000</v>
      </c>
      <c r="Q24" s="442">
        <f t="shared" si="16"/>
        <v>0</v>
      </c>
      <c r="R24" s="442">
        <f t="shared" si="16"/>
        <v>0</v>
      </c>
      <c r="S24" s="442">
        <f t="shared" si="16"/>
        <v>0</v>
      </c>
      <c r="T24" s="442">
        <f t="shared" si="16"/>
        <v>0</v>
      </c>
      <c r="U24" s="442">
        <f t="shared" si="16"/>
        <v>0</v>
      </c>
      <c r="V24" s="442">
        <f t="shared" si="16"/>
        <v>0</v>
      </c>
      <c r="W24" s="442">
        <f t="shared" si="16"/>
        <v>0</v>
      </c>
      <c r="X24" s="442">
        <f t="shared" si="16"/>
        <v>0</v>
      </c>
      <c r="Y24" s="442">
        <f t="shared" si="15"/>
        <v>286300000</v>
      </c>
      <c r="Z24" s="442">
        <f t="shared" si="15"/>
        <v>262145698</v>
      </c>
      <c r="AA24" s="442">
        <f t="shared" si="15"/>
        <v>262145698</v>
      </c>
      <c r="AB24" s="442">
        <f t="shared" si="15"/>
        <v>262145698</v>
      </c>
      <c r="AC24" s="439"/>
    </row>
    <row r="25" spans="1:29" s="450" customFormat="1" ht="16.5" hidden="1" thickTop="1" thickBot="1" x14ac:dyDescent="0.3">
      <c r="A25" s="451">
        <v>2</v>
      </c>
      <c r="B25" s="452" t="s">
        <v>220</v>
      </c>
      <c r="C25" s="452" t="s">
        <v>313</v>
      </c>
      <c r="D25" s="452" t="s">
        <v>220</v>
      </c>
      <c r="E25" s="452"/>
      <c r="F25" s="452"/>
      <c r="G25" s="452"/>
      <c r="H25" s="453" t="s">
        <v>811</v>
      </c>
      <c r="I25" s="618">
        <f>+I26</f>
        <v>93400000</v>
      </c>
      <c r="J25" s="618">
        <f t="shared" ref="J25:X25" si="17">+J26</f>
        <v>79132080</v>
      </c>
      <c r="K25" s="618">
        <f t="shared" si="17"/>
        <v>79132080</v>
      </c>
      <c r="L25" s="618">
        <f t="shared" si="17"/>
        <v>79132080</v>
      </c>
      <c r="M25" s="618">
        <f t="shared" si="17"/>
        <v>1600000</v>
      </c>
      <c r="N25" s="618">
        <f t="shared" si="17"/>
        <v>0</v>
      </c>
      <c r="O25" s="618">
        <f t="shared" si="17"/>
        <v>0</v>
      </c>
      <c r="P25" s="618">
        <f t="shared" si="17"/>
        <v>0</v>
      </c>
      <c r="Q25" s="454">
        <f t="shared" si="17"/>
        <v>0</v>
      </c>
      <c r="R25" s="454">
        <f t="shared" si="17"/>
        <v>0</v>
      </c>
      <c r="S25" s="454">
        <f t="shared" si="17"/>
        <v>0</v>
      </c>
      <c r="T25" s="454">
        <f t="shared" si="17"/>
        <v>0</v>
      </c>
      <c r="U25" s="454">
        <f t="shared" si="17"/>
        <v>0</v>
      </c>
      <c r="V25" s="454">
        <f t="shared" si="17"/>
        <v>0</v>
      </c>
      <c r="W25" s="454">
        <f t="shared" si="17"/>
        <v>0</v>
      </c>
      <c r="X25" s="454">
        <f t="shared" si="17"/>
        <v>0</v>
      </c>
      <c r="Y25" s="454">
        <f t="shared" si="15"/>
        <v>95000000</v>
      </c>
      <c r="Z25" s="454">
        <f t="shared" si="15"/>
        <v>79132080</v>
      </c>
      <c r="AA25" s="454">
        <f t="shared" si="15"/>
        <v>79132080</v>
      </c>
      <c r="AB25" s="454">
        <f t="shared" si="15"/>
        <v>79132080</v>
      </c>
      <c r="AC25" s="439"/>
    </row>
    <row r="26" spans="1:29" ht="16.5" hidden="1" thickTop="1" thickBot="1" x14ac:dyDescent="0.3">
      <c r="A26" s="458">
        <v>2</v>
      </c>
      <c r="B26" s="446" t="s">
        <v>220</v>
      </c>
      <c r="C26" s="446" t="s">
        <v>313</v>
      </c>
      <c r="D26" s="446" t="s">
        <v>220</v>
      </c>
      <c r="E26" s="446" t="s">
        <v>220</v>
      </c>
      <c r="F26" s="446"/>
      <c r="G26" s="446"/>
      <c r="H26" s="459" t="s">
        <v>812</v>
      </c>
      <c r="I26" s="620">
        <f>+I27+I28</f>
        <v>93400000</v>
      </c>
      <c r="J26" s="620">
        <f t="shared" ref="J26:X26" si="18">+J27+J28</f>
        <v>79132080</v>
      </c>
      <c r="K26" s="620">
        <f t="shared" si="18"/>
        <v>79132080</v>
      </c>
      <c r="L26" s="620">
        <f t="shared" si="18"/>
        <v>79132080</v>
      </c>
      <c r="M26" s="620">
        <f t="shared" si="18"/>
        <v>1600000</v>
      </c>
      <c r="N26" s="620">
        <f t="shared" si="18"/>
        <v>0</v>
      </c>
      <c r="O26" s="620">
        <f t="shared" si="18"/>
        <v>0</v>
      </c>
      <c r="P26" s="620">
        <v>0</v>
      </c>
      <c r="Q26" s="460">
        <f t="shared" si="18"/>
        <v>0</v>
      </c>
      <c r="R26" s="460">
        <f t="shared" si="18"/>
        <v>0</v>
      </c>
      <c r="S26" s="460">
        <f t="shared" si="18"/>
        <v>0</v>
      </c>
      <c r="T26" s="460">
        <f t="shared" si="18"/>
        <v>0</v>
      </c>
      <c r="U26" s="460">
        <f t="shared" si="18"/>
        <v>0</v>
      </c>
      <c r="V26" s="460">
        <f t="shared" si="18"/>
        <v>0</v>
      </c>
      <c r="W26" s="460">
        <f t="shared" si="18"/>
        <v>0</v>
      </c>
      <c r="X26" s="460">
        <f t="shared" si="18"/>
        <v>0</v>
      </c>
      <c r="Y26" s="460">
        <f t="shared" si="15"/>
        <v>95000000</v>
      </c>
      <c r="Z26" s="460">
        <f t="shared" si="15"/>
        <v>79132080</v>
      </c>
      <c r="AA26" s="460">
        <f t="shared" si="15"/>
        <v>79132080</v>
      </c>
      <c r="AB26" s="460">
        <f t="shared" si="15"/>
        <v>79132080</v>
      </c>
      <c r="AC26" s="439"/>
    </row>
    <row r="27" spans="1:29" s="457" customFormat="1" ht="16.5" hidden="1" thickTop="1" thickBot="1" x14ac:dyDescent="0.3">
      <c r="A27" s="444">
        <v>2</v>
      </c>
      <c r="B27" s="445" t="s">
        <v>220</v>
      </c>
      <c r="C27" s="445" t="s">
        <v>313</v>
      </c>
      <c r="D27" s="445" t="s">
        <v>220</v>
      </c>
      <c r="E27" s="445" t="s">
        <v>220</v>
      </c>
      <c r="F27" s="445" t="s">
        <v>220</v>
      </c>
      <c r="G27" s="445"/>
      <c r="H27" s="447" t="s">
        <v>813</v>
      </c>
      <c r="I27" s="619">
        <v>88400000</v>
      </c>
      <c r="J27" s="619">
        <v>76573737</v>
      </c>
      <c r="K27" s="619">
        <v>76573737</v>
      </c>
      <c r="L27" s="619">
        <v>76573737</v>
      </c>
      <c r="M27" s="619">
        <v>1600000</v>
      </c>
      <c r="N27" s="619">
        <v>0</v>
      </c>
      <c r="O27" s="619">
        <v>0</v>
      </c>
      <c r="P27" s="619">
        <v>0</v>
      </c>
      <c r="Q27" s="456">
        <v>0</v>
      </c>
      <c r="R27" s="456">
        <v>0</v>
      </c>
      <c r="S27" s="456">
        <v>0</v>
      </c>
      <c r="T27" s="456">
        <v>0</v>
      </c>
      <c r="U27" s="456"/>
      <c r="V27" s="456"/>
      <c r="W27" s="456"/>
      <c r="X27" s="456"/>
      <c r="Y27" s="456">
        <f t="shared" si="15"/>
        <v>90000000</v>
      </c>
      <c r="Z27" s="456">
        <f t="shared" si="15"/>
        <v>76573737</v>
      </c>
      <c r="AA27" s="456">
        <f t="shared" si="15"/>
        <v>76573737</v>
      </c>
      <c r="AB27" s="456">
        <f t="shared" si="15"/>
        <v>76573737</v>
      </c>
      <c r="AC27" s="439"/>
    </row>
    <row r="28" spans="1:29" s="457" customFormat="1" ht="16.5" hidden="1" thickTop="1" thickBot="1" x14ac:dyDescent="0.3">
      <c r="A28" s="444">
        <v>2</v>
      </c>
      <c r="B28" s="445" t="s">
        <v>220</v>
      </c>
      <c r="C28" s="445" t="s">
        <v>313</v>
      </c>
      <c r="D28" s="445" t="s">
        <v>220</v>
      </c>
      <c r="E28" s="445" t="s">
        <v>220</v>
      </c>
      <c r="F28" s="445" t="s">
        <v>231</v>
      </c>
      <c r="G28" s="445"/>
      <c r="H28" s="447" t="s">
        <v>814</v>
      </c>
      <c r="I28" s="619">
        <v>5000000</v>
      </c>
      <c r="J28" s="619">
        <v>2558343</v>
      </c>
      <c r="K28" s="619">
        <v>2558343</v>
      </c>
      <c r="L28" s="619">
        <v>2558343</v>
      </c>
      <c r="M28" s="619">
        <v>0</v>
      </c>
      <c r="N28" s="619"/>
      <c r="O28" s="619"/>
      <c r="P28" s="619"/>
      <c r="Q28" s="456">
        <v>0</v>
      </c>
      <c r="R28" s="456"/>
      <c r="S28" s="456"/>
      <c r="T28" s="456"/>
      <c r="U28" s="456"/>
      <c r="V28" s="456"/>
      <c r="W28" s="456"/>
      <c r="X28" s="456"/>
      <c r="Y28" s="456">
        <f t="shared" si="15"/>
        <v>5000000</v>
      </c>
      <c r="Z28" s="456">
        <f t="shared" si="15"/>
        <v>2558343</v>
      </c>
      <c r="AA28" s="456">
        <f t="shared" si="15"/>
        <v>2558343</v>
      </c>
      <c r="AB28" s="456">
        <f t="shared" si="15"/>
        <v>2558343</v>
      </c>
      <c r="AC28" s="439"/>
    </row>
    <row r="29" spans="1:29" s="450" customFormat="1" ht="16.5" hidden="1" thickTop="1" thickBot="1" x14ac:dyDescent="0.3">
      <c r="A29" s="451">
        <v>2</v>
      </c>
      <c r="B29" s="452" t="s">
        <v>220</v>
      </c>
      <c r="C29" s="452" t="s">
        <v>313</v>
      </c>
      <c r="D29" s="452" t="s">
        <v>231</v>
      </c>
      <c r="E29" s="452"/>
      <c r="F29" s="452"/>
      <c r="G29" s="452"/>
      <c r="H29" s="453" t="s">
        <v>815</v>
      </c>
      <c r="I29" s="618">
        <f>+I30</f>
        <v>0</v>
      </c>
      <c r="J29" s="618">
        <f t="shared" ref="J29:X29" si="19">+J30</f>
        <v>0</v>
      </c>
      <c r="K29" s="618">
        <f t="shared" si="19"/>
        <v>0</v>
      </c>
      <c r="L29" s="618">
        <f t="shared" si="19"/>
        <v>0</v>
      </c>
      <c r="M29" s="618">
        <f t="shared" si="19"/>
        <v>0</v>
      </c>
      <c r="N29" s="618">
        <f t="shared" si="19"/>
        <v>0</v>
      </c>
      <c r="O29" s="618">
        <f t="shared" si="19"/>
        <v>0</v>
      </c>
      <c r="P29" s="618">
        <f t="shared" si="19"/>
        <v>0</v>
      </c>
      <c r="Q29" s="454">
        <f t="shared" si="19"/>
        <v>0</v>
      </c>
      <c r="R29" s="454">
        <f t="shared" si="19"/>
        <v>0</v>
      </c>
      <c r="S29" s="454">
        <f t="shared" si="19"/>
        <v>0</v>
      </c>
      <c r="T29" s="454">
        <f t="shared" si="19"/>
        <v>0</v>
      </c>
      <c r="U29" s="454">
        <f t="shared" si="19"/>
        <v>0</v>
      </c>
      <c r="V29" s="454">
        <f t="shared" si="19"/>
        <v>0</v>
      </c>
      <c r="W29" s="454">
        <f t="shared" si="19"/>
        <v>0</v>
      </c>
      <c r="X29" s="454">
        <f t="shared" si="19"/>
        <v>0</v>
      </c>
      <c r="Y29" s="454">
        <f t="shared" si="15"/>
        <v>0</v>
      </c>
      <c r="Z29" s="454">
        <f t="shared" si="15"/>
        <v>0</v>
      </c>
      <c r="AA29" s="454">
        <f t="shared" si="15"/>
        <v>0</v>
      </c>
      <c r="AB29" s="454">
        <f t="shared" si="15"/>
        <v>0</v>
      </c>
      <c r="AC29" s="439"/>
    </row>
    <row r="30" spans="1:29" s="457" customFormat="1" ht="16.5" hidden="1" thickTop="1" thickBot="1" x14ac:dyDescent="0.3">
      <c r="A30" s="444">
        <v>2</v>
      </c>
      <c r="B30" s="445" t="s">
        <v>220</v>
      </c>
      <c r="C30" s="445" t="s">
        <v>313</v>
      </c>
      <c r="D30" s="445" t="s">
        <v>231</v>
      </c>
      <c r="E30" s="445" t="s">
        <v>220</v>
      </c>
      <c r="F30" s="445"/>
      <c r="G30" s="445"/>
      <c r="H30" s="447" t="s">
        <v>816</v>
      </c>
      <c r="I30" s="619">
        <v>0</v>
      </c>
      <c r="J30" s="619"/>
      <c r="K30" s="619"/>
      <c r="L30" s="619"/>
      <c r="M30" s="619"/>
      <c r="N30" s="619"/>
      <c r="O30" s="619"/>
      <c r="P30" s="619"/>
      <c r="Q30" s="456"/>
      <c r="R30" s="456"/>
      <c r="S30" s="456"/>
      <c r="T30" s="456"/>
      <c r="U30" s="456"/>
      <c r="V30" s="456"/>
      <c r="W30" s="456"/>
      <c r="X30" s="456"/>
      <c r="Y30" s="456">
        <f t="shared" si="15"/>
        <v>0</v>
      </c>
      <c r="Z30" s="456">
        <f t="shared" si="15"/>
        <v>0</v>
      </c>
      <c r="AA30" s="456">
        <f t="shared" si="15"/>
        <v>0</v>
      </c>
      <c r="AB30" s="456">
        <f t="shared" si="15"/>
        <v>0</v>
      </c>
      <c r="AC30" s="439"/>
    </row>
    <row r="31" spans="1:29" s="450" customFormat="1" ht="16.5" hidden="1" thickTop="1" thickBot="1" x14ac:dyDescent="0.3">
      <c r="A31" s="451">
        <v>2</v>
      </c>
      <c r="B31" s="452" t="s">
        <v>220</v>
      </c>
      <c r="C31" s="452" t="s">
        <v>313</v>
      </c>
      <c r="D31" s="452" t="s">
        <v>305</v>
      </c>
      <c r="E31" s="452"/>
      <c r="F31" s="452"/>
      <c r="G31" s="452"/>
      <c r="H31" s="453" t="s">
        <v>817</v>
      </c>
      <c r="I31" s="618">
        <f>+I32</f>
        <v>173000000</v>
      </c>
      <c r="J31" s="618">
        <f t="shared" ref="J31:X31" si="20">+J32</f>
        <v>164713618</v>
      </c>
      <c r="K31" s="618">
        <f t="shared" si="20"/>
        <v>164713618</v>
      </c>
      <c r="L31" s="618">
        <f t="shared" si="20"/>
        <v>164713618</v>
      </c>
      <c r="M31" s="618">
        <f t="shared" si="20"/>
        <v>18300000</v>
      </c>
      <c r="N31" s="618">
        <f t="shared" si="20"/>
        <v>18300000</v>
      </c>
      <c r="O31" s="618">
        <f t="shared" si="20"/>
        <v>18300000</v>
      </c>
      <c r="P31" s="618">
        <f t="shared" si="20"/>
        <v>18300000</v>
      </c>
      <c r="Q31" s="454">
        <f t="shared" si="20"/>
        <v>0</v>
      </c>
      <c r="R31" s="454">
        <f t="shared" si="20"/>
        <v>0</v>
      </c>
      <c r="S31" s="454">
        <f t="shared" si="20"/>
        <v>0</v>
      </c>
      <c r="T31" s="454">
        <f t="shared" si="20"/>
        <v>0</v>
      </c>
      <c r="U31" s="454">
        <f t="shared" si="20"/>
        <v>0</v>
      </c>
      <c r="V31" s="454">
        <f t="shared" si="20"/>
        <v>0</v>
      </c>
      <c r="W31" s="454">
        <f t="shared" si="20"/>
        <v>0</v>
      </c>
      <c r="X31" s="454">
        <f t="shared" si="20"/>
        <v>0</v>
      </c>
      <c r="Y31" s="454">
        <f t="shared" si="15"/>
        <v>191300000</v>
      </c>
      <c r="Z31" s="454">
        <f t="shared" si="15"/>
        <v>183013618</v>
      </c>
      <c r="AA31" s="454">
        <f t="shared" si="15"/>
        <v>183013618</v>
      </c>
      <c r="AB31" s="454">
        <f t="shared" si="15"/>
        <v>183013618</v>
      </c>
      <c r="AC31" s="439"/>
    </row>
    <row r="32" spans="1:29" s="457" customFormat="1" ht="16.5" hidden="1" thickTop="1" thickBot="1" x14ac:dyDescent="0.3">
      <c r="A32" s="444">
        <v>2</v>
      </c>
      <c r="B32" s="445" t="s">
        <v>220</v>
      </c>
      <c r="C32" s="445" t="s">
        <v>313</v>
      </c>
      <c r="D32" s="445" t="s">
        <v>305</v>
      </c>
      <c r="E32" s="445" t="s">
        <v>220</v>
      </c>
      <c r="F32" s="445"/>
      <c r="G32" s="445"/>
      <c r="H32" s="447" t="s">
        <v>818</v>
      </c>
      <c r="I32" s="616">
        <v>173000000</v>
      </c>
      <c r="J32" s="616">
        <v>164713618</v>
      </c>
      <c r="K32" s="616">
        <v>164713618</v>
      </c>
      <c r="L32" s="616">
        <v>164713618</v>
      </c>
      <c r="M32" s="616">
        <v>18300000</v>
      </c>
      <c r="N32" s="616">
        <v>18300000</v>
      </c>
      <c r="O32" s="616">
        <v>18300000</v>
      </c>
      <c r="P32" s="616">
        <v>18300000</v>
      </c>
      <c r="Q32" s="449">
        <v>0</v>
      </c>
      <c r="R32" s="449">
        <v>0</v>
      </c>
      <c r="S32" s="449">
        <v>0</v>
      </c>
      <c r="T32" s="449">
        <v>0</v>
      </c>
      <c r="U32" s="449"/>
      <c r="V32" s="449"/>
      <c r="W32" s="449"/>
      <c r="X32" s="449"/>
      <c r="Y32" s="449">
        <f t="shared" si="15"/>
        <v>191300000</v>
      </c>
      <c r="Z32" s="449">
        <f t="shared" si="15"/>
        <v>183013618</v>
      </c>
      <c r="AA32" s="449">
        <f t="shared" si="15"/>
        <v>183013618</v>
      </c>
      <c r="AB32" s="449">
        <f t="shared" si="15"/>
        <v>183013618</v>
      </c>
      <c r="AC32" s="439"/>
    </row>
    <row r="33" spans="1:29" ht="16.5" hidden="1" thickTop="1" thickBot="1" x14ac:dyDescent="0.3">
      <c r="A33" s="461">
        <v>2</v>
      </c>
      <c r="B33" s="462" t="s">
        <v>220</v>
      </c>
      <c r="C33" s="452" t="s">
        <v>313</v>
      </c>
      <c r="D33" s="452" t="s">
        <v>313</v>
      </c>
      <c r="E33" s="461"/>
      <c r="F33" s="461"/>
      <c r="G33" s="461"/>
      <c r="H33" s="453" t="s">
        <v>306</v>
      </c>
      <c r="I33" s="621">
        <f>+I34+I35+I36</f>
        <v>0</v>
      </c>
      <c r="J33" s="621">
        <f t="shared" ref="J33:X33" si="21">+J34+J35+J36</f>
        <v>0</v>
      </c>
      <c r="K33" s="621">
        <f t="shared" si="21"/>
        <v>0</v>
      </c>
      <c r="L33" s="621">
        <f t="shared" si="21"/>
        <v>0</v>
      </c>
      <c r="M33" s="621">
        <f t="shared" si="21"/>
        <v>0</v>
      </c>
      <c r="N33" s="621">
        <f t="shared" si="21"/>
        <v>0</v>
      </c>
      <c r="O33" s="621">
        <f t="shared" si="21"/>
        <v>0</v>
      </c>
      <c r="P33" s="621">
        <f t="shared" si="21"/>
        <v>0</v>
      </c>
      <c r="Q33" s="464">
        <f>+Q34+Q35+Q36</f>
        <v>0</v>
      </c>
      <c r="R33" s="464">
        <f t="shared" si="21"/>
        <v>0</v>
      </c>
      <c r="S33" s="464">
        <f t="shared" si="21"/>
        <v>0</v>
      </c>
      <c r="T33" s="464">
        <f t="shared" si="21"/>
        <v>0</v>
      </c>
      <c r="U33" s="464">
        <f t="shared" si="21"/>
        <v>0</v>
      </c>
      <c r="V33" s="464">
        <f t="shared" si="21"/>
        <v>0</v>
      </c>
      <c r="W33" s="464">
        <f t="shared" si="21"/>
        <v>0</v>
      </c>
      <c r="X33" s="464">
        <f t="shared" si="21"/>
        <v>0</v>
      </c>
      <c r="Y33" s="464">
        <f t="shared" si="15"/>
        <v>0</v>
      </c>
      <c r="Z33" s="464">
        <f t="shared" si="15"/>
        <v>0</v>
      </c>
      <c r="AA33" s="464">
        <f t="shared" si="15"/>
        <v>0</v>
      </c>
      <c r="AB33" s="464">
        <f t="shared" si="15"/>
        <v>0</v>
      </c>
      <c r="AC33" s="439"/>
    </row>
    <row r="34" spans="1:29" s="457" customFormat="1" ht="16.5" hidden="1" thickTop="1" thickBot="1" x14ac:dyDescent="0.3">
      <c r="A34" s="444">
        <v>2</v>
      </c>
      <c r="B34" s="445" t="s">
        <v>220</v>
      </c>
      <c r="C34" s="445" t="s">
        <v>313</v>
      </c>
      <c r="D34" s="445" t="s">
        <v>313</v>
      </c>
      <c r="E34" s="445" t="s">
        <v>220</v>
      </c>
      <c r="F34" s="445"/>
      <c r="G34" s="445"/>
      <c r="H34" s="447" t="s">
        <v>819</v>
      </c>
      <c r="I34" s="616"/>
      <c r="J34" s="616"/>
      <c r="K34" s="616"/>
      <c r="L34" s="616"/>
      <c r="M34" s="616"/>
      <c r="N34" s="616"/>
      <c r="O34" s="616"/>
      <c r="P34" s="616"/>
      <c r="Q34" s="449"/>
      <c r="R34" s="449"/>
      <c r="S34" s="449"/>
      <c r="T34" s="449"/>
      <c r="U34" s="449"/>
      <c r="V34" s="449"/>
      <c r="W34" s="449"/>
      <c r="X34" s="449"/>
      <c r="Y34" s="449">
        <f t="shared" si="15"/>
        <v>0</v>
      </c>
      <c r="Z34" s="449">
        <f t="shared" si="15"/>
        <v>0</v>
      </c>
      <c r="AA34" s="449">
        <f t="shared" si="15"/>
        <v>0</v>
      </c>
      <c r="AB34" s="449">
        <f t="shared" si="15"/>
        <v>0</v>
      </c>
      <c r="AC34" s="439"/>
    </row>
    <row r="35" spans="1:29" s="457" customFormat="1" ht="16.5" hidden="1" thickTop="1" thickBot="1" x14ac:dyDescent="0.3">
      <c r="A35" s="444">
        <v>2</v>
      </c>
      <c r="B35" s="445" t="s">
        <v>220</v>
      </c>
      <c r="C35" s="445" t="s">
        <v>313</v>
      </c>
      <c r="D35" s="445" t="s">
        <v>313</v>
      </c>
      <c r="E35" s="445" t="s">
        <v>231</v>
      </c>
      <c r="F35" s="445"/>
      <c r="G35" s="445"/>
      <c r="H35" s="447" t="s">
        <v>820</v>
      </c>
      <c r="I35" s="616"/>
      <c r="J35" s="616"/>
      <c r="K35" s="616"/>
      <c r="L35" s="616"/>
      <c r="M35" s="616"/>
      <c r="N35" s="616"/>
      <c r="O35" s="616"/>
      <c r="P35" s="616"/>
      <c r="Q35" s="449"/>
      <c r="R35" s="449"/>
      <c r="S35" s="449"/>
      <c r="T35" s="449"/>
      <c r="U35" s="449"/>
      <c r="V35" s="449"/>
      <c r="W35" s="449"/>
      <c r="X35" s="449"/>
      <c r="Y35" s="449">
        <f t="shared" si="15"/>
        <v>0</v>
      </c>
      <c r="Z35" s="449">
        <f t="shared" si="15"/>
        <v>0</v>
      </c>
      <c r="AA35" s="449">
        <f t="shared" si="15"/>
        <v>0</v>
      </c>
      <c r="AB35" s="449">
        <f t="shared" si="15"/>
        <v>0</v>
      </c>
      <c r="AC35" s="439"/>
    </row>
    <row r="36" spans="1:29" s="457" customFormat="1" ht="16.5" hidden="1" thickTop="1" thickBot="1" x14ac:dyDescent="0.3">
      <c r="A36" s="444">
        <v>2</v>
      </c>
      <c r="B36" s="445" t="s">
        <v>220</v>
      </c>
      <c r="C36" s="445" t="s">
        <v>313</v>
      </c>
      <c r="D36" s="445" t="s">
        <v>313</v>
      </c>
      <c r="E36" s="445" t="s">
        <v>305</v>
      </c>
      <c r="F36" s="445"/>
      <c r="G36" s="445"/>
      <c r="H36" s="447" t="s">
        <v>333</v>
      </c>
      <c r="I36" s="616"/>
      <c r="J36" s="616"/>
      <c r="K36" s="616"/>
      <c r="L36" s="616"/>
      <c r="M36" s="616"/>
      <c r="N36" s="616"/>
      <c r="O36" s="616"/>
      <c r="P36" s="616"/>
      <c r="Q36" s="449"/>
      <c r="R36" s="449"/>
      <c r="S36" s="449"/>
      <c r="T36" s="449"/>
      <c r="U36" s="449"/>
      <c r="V36" s="449"/>
      <c r="W36" s="449"/>
      <c r="X36" s="449"/>
      <c r="Y36" s="449">
        <f t="shared" si="15"/>
        <v>0</v>
      </c>
      <c r="Z36" s="449">
        <f t="shared" si="15"/>
        <v>0</v>
      </c>
      <c r="AA36" s="449">
        <f t="shared" si="15"/>
        <v>0</v>
      </c>
      <c r="AB36" s="449">
        <f t="shared" si="15"/>
        <v>0</v>
      </c>
      <c r="AC36" s="439"/>
    </row>
    <row r="37" spans="1:29" ht="16.5" hidden="1" thickTop="1" thickBot="1" x14ac:dyDescent="0.3">
      <c r="A37" s="443">
        <v>2</v>
      </c>
      <c r="B37" s="440" t="s">
        <v>231</v>
      </c>
      <c r="C37" s="440"/>
      <c r="D37" s="440"/>
      <c r="E37" s="440"/>
      <c r="F37" s="440"/>
      <c r="G37" s="440"/>
      <c r="H37" s="441" t="s">
        <v>821</v>
      </c>
      <c r="I37" s="614">
        <f>+I38+I42</f>
        <v>0</v>
      </c>
      <c r="J37" s="614">
        <f t="shared" ref="J37:X37" si="22">+J38+J42</f>
        <v>0</v>
      </c>
      <c r="K37" s="614">
        <f t="shared" si="22"/>
        <v>0</v>
      </c>
      <c r="L37" s="614">
        <f t="shared" si="22"/>
        <v>0</v>
      </c>
      <c r="M37" s="614">
        <f t="shared" si="22"/>
        <v>1872529196</v>
      </c>
      <c r="N37" s="614">
        <f t="shared" si="22"/>
        <v>1872529196</v>
      </c>
      <c r="O37" s="614">
        <f t="shared" si="22"/>
        <v>1872529196</v>
      </c>
      <c r="P37" s="614">
        <f t="shared" si="22"/>
        <v>1872529196</v>
      </c>
      <c r="Q37" s="465">
        <f t="shared" si="22"/>
        <v>0</v>
      </c>
      <c r="R37" s="465">
        <f t="shared" si="22"/>
        <v>0</v>
      </c>
      <c r="S37" s="465">
        <f t="shared" si="22"/>
        <v>0</v>
      </c>
      <c r="T37" s="465">
        <f t="shared" si="22"/>
        <v>0</v>
      </c>
      <c r="U37" s="465">
        <f t="shared" si="22"/>
        <v>0</v>
      </c>
      <c r="V37" s="465">
        <f t="shared" si="22"/>
        <v>0</v>
      </c>
      <c r="W37" s="465">
        <f t="shared" si="22"/>
        <v>0</v>
      </c>
      <c r="X37" s="465">
        <f t="shared" si="22"/>
        <v>0</v>
      </c>
      <c r="Y37" s="465">
        <f t="shared" si="15"/>
        <v>1872529196</v>
      </c>
      <c r="Z37" s="465">
        <f t="shared" si="15"/>
        <v>1872529196</v>
      </c>
      <c r="AA37" s="465">
        <f t="shared" si="15"/>
        <v>1872529196</v>
      </c>
      <c r="AB37" s="465">
        <f t="shared" si="15"/>
        <v>1872529196</v>
      </c>
      <c r="AC37" s="439"/>
    </row>
    <row r="38" spans="1:29" ht="16.5" hidden="1" thickTop="1" thickBot="1" x14ac:dyDescent="0.3">
      <c r="A38" s="461">
        <v>2</v>
      </c>
      <c r="B38" s="462" t="s">
        <v>231</v>
      </c>
      <c r="C38" s="452" t="s">
        <v>220</v>
      </c>
      <c r="D38" s="451"/>
      <c r="E38" s="452"/>
      <c r="F38" s="452"/>
      <c r="G38" s="452"/>
      <c r="H38" s="453" t="s">
        <v>822</v>
      </c>
      <c r="I38" s="618">
        <f>+I39+I40+I41</f>
        <v>0</v>
      </c>
      <c r="J38" s="618">
        <f t="shared" ref="J38:X38" si="23">+J39+J40+J41</f>
        <v>0</v>
      </c>
      <c r="K38" s="618">
        <f t="shared" si="23"/>
        <v>0</v>
      </c>
      <c r="L38" s="618">
        <f t="shared" si="23"/>
        <v>0</v>
      </c>
      <c r="M38" s="618">
        <f t="shared" si="23"/>
        <v>0</v>
      </c>
      <c r="N38" s="618">
        <f t="shared" si="23"/>
        <v>0</v>
      </c>
      <c r="O38" s="618">
        <f t="shared" si="23"/>
        <v>0</v>
      </c>
      <c r="P38" s="618">
        <f t="shared" si="23"/>
        <v>0</v>
      </c>
      <c r="Q38" s="466">
        <f t="shared" si="23"/>
        <v>0</v>
      </c>
      <c r="R38" s="466">
        <f t="shared" si="23"/>
        <v>0</v>
      </c>
      <c r="S38" s="466">
        <f t="shared" si="23"/>
        <v>0</v>
      </c>
      <c r="T38" s="466">
        <f t="shared" si="23"/>
        <v>0</v>
      </c>
      <c r="U38" s="466">
        <f t="shared" si="23"/>
        <v>0</v>
      </c>
      <c r="V38" s="466">
        <f t="shared" si="23"/>
        <v>0</v>
      </c>
      <c r="W38" s="466">
        <f t="shared" si="23"/>
        <v>0</v>
      </c>
      <c r="X38" s="466">
        <f t="shared" si="23"/>
        <v>0</v>
      </c>
      <c r="Y38" s="466">
        <f t="shared" si="15"/>
        <v>0</v>
      </c>
      <c r="Z38" s="466">
        <f t="shared" si="15"/>
        <v>0</v>
      </c>
      <c r="AA38" s="466">
        <f t="shared" si="15"/>
        <v>0</v>
      </c>
      <c r="AB38" s="466">
        <f t="shared" si="15"/>
        <v>0</v>
      </c>
      <c r="AC38" s="439"/>
    </row>
    <row r="39" spans="1:29" ht="16.5" hidden="1" thickTop="1" thickBot="1" x14ac:dyDescent="0.3">
      <c r="A39" s="444">
        <v>2</v>
      </c>
      <c r="B39" s="445" t="s">
        <v>231</v>
      </c>
      <c r="C39" s="445" t="s">
        <v>220</v>
      </c>
      <c r="D39" s="446" t="s">
        <v>220</v>
      </c>
      <c r="E39" s="444"/>
      <c r="F39" s="444"/>
      <c r="G39" s="444"/>
      <c r="H39" s="447" t="s">
        <v>822</v>
      </c>
      <c r="I39" s="616"/>
      <c r="J39" s="616"/>
      <c r="K39" s="616"/>
      <c r="L39" s="616"/>
      <c r="M39" s="616"/>
      <c r="N39" s="616"/>
      <c r="O39" s="616"/>
      <c r="P39" s="616"/>
      <c r="Q39" s="467"/>
      <c r="R39" s="467"/>
      <c r="S39" s="467"/>
      <c r="T39" s="467"/>
      <c r="U39" s="467"/>
      <c r="V39" s="467"/>
      <c r="W39" s="467"/>
      <c r="X39" s="467"/>
      <c r="Y39" s="467">
        <f t="shared" si="15"/>
        <v>0</v>
      </c>
      <c r="Z39" s="467">
        <f t="shared" si="15"/>
        <v>0</v>
      </c>
      <c r="AA39" s="467">
        <f t="shared" si="15"/>
        <v>0</v>
      </c>
      <c r="AB39" s="467">
        <f t="shared" si="15"/>
        <v>0</v>
      </c>
      <c r="AC39" s="439"/>
    </row>
    <row r="40" spans="1:29" ht="16.5" hidden="1" thickTop="1" thickBot="1" x14ac:dyDescent="0.3">
      <c r="A40" s="444">
        <v>2</v>
      </c>
      <c r="B40" s="445" t="s">
        <v>231</v>
      </c>
      <c r="C40" s="445" t="s">
        <v>220</v>
      </c>
      <c r="D40" s="446" t="s">
        <v>231</v>
      </c>
      <c r="E40" s="444"/>
      <c r="F40" s="444"/>
      <c r="G40" s="444"/>
      <c r="H40" s="447" t="s">
        <v>823</v>
      </c>
      <c r="I40" s="616"/>
      <c r="J40" s="616"/>
      <c r="K40" s="616"/>
      <c r="L40" s="616"/>
      <c r="M40" s="616"/>
      <c r="N40" s="616"/>
      <c r="O40" s="616"/>
      <c r="P40" s="616"/>
      <c r="Q40" s="467"/>
      <c r="R40" s="467"/>
      <c r="S40" s="467"/>
      <c r="T40" s="467"/>
      <c r="U40" s="467"/>
      <c r="V40" s="467"/>
      <c r="W40" s="467"/>
      <c r="X40" s="467"/>
      <c r="Y40" s="467">
        <f t="shared" si="15"/>
        <v>0</v>
      </c>
      <c r="Z40" s="467">
        <f t="shared" si="15"/>
        <v>0</v>
      </c>
      <c r="AA40" s="467">
        <f t="shared" si="15"/>
        <v>0</v>
      </c>
      <c r="AB40" s="467">
        <f t="shared" si="15"/>
        <v>0</v>
      </c>
      <c r="AC40" s="439"/>
    </row>
    <row r="41" spans="1:29" ht="16.5" hidden="1" thickTop="1" thickBot="1" x14ac:dyDescent="0.3">
      <c r="A41" s="444">
        <v>2</v>
      </c>
      <c r="B41" s="445" t="s">
        <v>231</v>
      </c>
      <c r="C41" s="445" t="s">
        <v>220</v>
      </c>
      <c r="D41" s="446" t="s">
        <v>305</v>
      </c>
      <c r="E41" s="444"/>
      <c r="F41" s="444"/>
      <c r="G41" s="444"/>
      <c r="H41" s="447" t="s">
        <v>809</v>
      </c>
      <c r="I41" s="616"/>
      <c r="J41" s="616"/>
      <c r="K41" s="616"/>
      <c r="L41" s="616"/>
      <c r="M41" s="616"/>
      <c r="N41" s="616"/>
      <c r="O41" s="616"/>
      <c r="P41" s="616"/>
      <c r="Q41" s="467"/>
      <c r="R41" s="467"/>
      <c r="S41" s="467"/>
      <c r="T41" s="467"/>
      <c r="U41" s="467"/>
      <c r="V41" s="467"/>
      <c r="W41" s="467"/>
      <c r="X41" s="467"/>
      <c r="Y41" s="467">
        <f t="shared" si="15"/>
        <v>0</v>
      </c>
      <c r="Z41" s="467">
        <f t="shared" si="15"/>
        <v>0</v>
      </c>
      <c r="AA41" s="467">
        <f t="shared" si="15"/>
        <v>0</v>
      </c>
      <c r="AB41" s="467">
        <f t="shared" si="15"/>
        <v>0</v>
      </c>
      <c r="AC41" s="439"/>
    </row>
    <row r="42" spans="1:29" ht="16.5" hidden="1" thickTop="1" thickBot="1" x14ac:dyDescent="0.3">
      <c r="A42" s="461">
        <v>2</v>
      </c>
      <c r="B42" s="462" t="s">
        <v>231</v>
      </c>
      <c r="C42" s="452" t="s">
        <v>231</v>
      </c>
      <c r="D42" s="451"/>
      <c r="E42" s="452"/>
      <c r="F42" s="452"/>
      <c r="G42" s="452"/>
      <c r="H42" s="453" t="s">
        <v>824</v>
      </c>
      <c r="I42" s="618">
        <f>+I43+I44+I45+I46</f>
        <v>0</v>
      </c>
      <c r="J42" s="618">
        <f t="shared" ref="J42:X42" si="24">+J43+J44+J45+J46</f>
        <v>0</v>
      </c>
      <c r="K42" s="618">
        <f t="shared" si="24"/>
        <v>0</v>
      </c>
      <c r="L42" s="618">
        <f t="shared" si="24"/>
        <v>0</v>
      </c>
      <c r="M42" s="618">
        <f t="shared" si="24"/>
        <v>1872529196</v>
      </c>
      <c r="N42" s="618">
        <f t="shared" si="24"/>
        <v>1872529196</v>
      </c>
      <c r="O42" s="618">
        <f t="shared" si="24"/>
        <v>1872529196</v>
      </c>
      <c r="P42" s="618">
        <f t="shared" si="24"/>
        <v>1872529196</v>
      </c>
      <c r="Q42" s="466">
        <f t="shared" si="24"/>
        <v>0</v>
      </c>
      <c r="R42" s="466">
        <f t="shared" si="24"/>
        <v>0</v>
      </c>
      <c r="S42" s="466">
        <f t="shared" si="24"/>
        <v>0</v>
      </c>
      <c r="T42" s="466">
        <f t="shared" si="24"/>
        <v>0</v>
      </c>
      <c r="U42" s="466">
        <f t="shared" si="24"/>
        <v>0</v>
      </c>
      <c r="V42" s="466">
        <f t="shared" si="24"/>
        <v>0</v>
      </c>
      <c r="W42" s="466">
        <f t="shared" si="24"/>
        <v>0</v>
      </c>
      <c r="X42" s="466">
        <f t="shared" si="24"/>
        <v>0</v>
      </c>
      <c r="Y42" s="466">
        <f t="shared" si="15"/>
        <v>1872529196</v>
      </c>
      <c r="Z42" s="466">
        <f t="shared" si="15"/>
        <v>1872529196</v>
      </c>
      <c r="AA42" s="466">
        <f t="shared" si="15"/>
        <v>1872529196</v>
      </c>
      <c r="AB42" s="466">
        <f t="shared" si="15"/>
        <v>1872529196</v>
      </c>
      <c r="AC42" s="439"/>
    </row>
    <row r="43" spans="1:29" ht="16.5" hidden="1" thickTop="1" thickBot="1" x14ac:dyDescent="0.3">
      <c r="A43" s="444">
        <v>2</v>
      </c>
      <c r="B43" s="445" t="s">
        <v>231</v>
      </c>
      <c r="C43" s="445" t="s">
        <v>231</v>
      </c>
      <c r="D43" s="445" t="s">
        <v>220</v>
      </c>
      <c r="E43" s="444"/>
      <c r="F43" s="444"/>
      <c r="G43" s="444"/>
      <c r="H43" s="447" t="s">
        <v>824</v>
      </c>
      <c r="I43" s="616"/>
      <c r="J43" s="616"/>
      <c r="K43" s="616"/>
      <c r="L43" s="616"/>
      <c r="M43" s="616"/>
      <c r="N43" s="616"/>
      <c r="O43" s="616"/>
      <c r="P43" s="616"/>
      <c r="Q43" s="449"/>
      <c r="R43" s="449"/>
      <c r="S43" s="449"/>
      <c r="T43" s="449"/>
      <c r="U43" s="449"/>
      <c r="V43" s="449"/>
      <c r="W43" s="449"/>
      <c r="X43" s="449"/>
      <c r="Y43" s="449">
        <f t="shared" si="15"/>
        <v>0</v>
      </c>
      <c r="Z43" s="449">
        <f t="shared" si="15"/>
        <v>0</v>
      </c>
      <c r="AA43" s="449">
        <f t="shared" si="15"/>
        <v>0</v>
      </c>
      <c r="AB43" s="449">
        <f t="shared" si="15"/>
        <v>0</v>
      </c>
      <c r="AC43" s="439"/>
    </row>
    <row r="44" spans="1:29" ht="16.5" hidden="1" thickTop="1" thickBot="1" x14ac:dyDescent="0.3">
      <c r="A44" s="444">
        <v>2</v>
      </c>
      <c r="B44" s="445" t="s">
        <v>231</v>
      </c>
      <c r="C44" s="445" t="s">
        <v>231</v>
      </c>
      <c r="D44" s="445" t="s">
        <v>231</v>
      </c>
      <c r="E44" s="444"/>
      <c r="F44" s="444"/>
      <c r="G44" s="444"/>
      <c r="H44" s="447" t="s">
        <v>825</v>
      </c>
      <c r="I44" s="616"/>
      <c r="J44" s="616"/>
      <c r="K44" s="616"/>
      <c r="L44" s="616"/>
      <c r="M44" s="616"/>
      <c r="N44" s="616"/>
      <c r="O44" s="616"/>
      <c r="P44" s="616"/>
      <c r="Q44" s="449"/>
      <c r="R44" s="449"/>
      <c r="S44" s="449"/>
      <c r="T44" s="449"/>
      <c r="U44" s="449"/>
      <c r="V44" s="449"/>
      <c r="W44" s="449"/>
      <c r="X44" s="449"/>
      <c r="Y44" s="449">
        <f t="shared" si="15"/>
        <v>0</v>
      </c>
      <c r="Z44" s="449">
        <f t="shared" si="15"/>
        <v>0</v>
      </c>
      <c r="AA44" s="449">
        <f t="shared" si="15"/>
        <v>0</v>
      </c>
      <c r="AB44" s="449">
        <f t="shared" si="15"/>
        <v>0</v>
      </c>
      <c r="AC44" s="439"/>
    </row>
    <row r="45" spans="1:29" ht="16.5" hidden="1" thickTop="1" thickBot="1" x14ac:dyDescent="0.3">
      <c r="A45" s="444">
        <v>2</v>
      </c>
      <c r="B45" s="445" t="s">
        <v>231</v>
      </c>
      <c r="C45" s="445" t="s">
        <v>231</v>
      </c>
      <c r="D45" s="445" t="s">
        <v>305</v>
      </c>
      <c r="E45" s="444"/>
      <c r="F45" s="444"/>
      <c r="G45" s="444"/>
      <c r="H45" s="447" t="s">
        <v>809</v>
      </c>
      <c r="I45" s="616"/>
      <c r="J45" s="616"/>
      <c r="K45" s="616"/>
      <c r="L45" s="616"/>
      <c r="M45" s="616"/>
      <c r="N45" s="616"/>
      <c r="O45" s="616"/>
      <c r="P45" s="616"/>
      <c r="Q45" s="449"/>
      <c r="R45" s="449"/>
      <c r="S45" s="449"/>
      <c r="T45" s="449"/>
      <c r="U45" s="449"/>
      <c r="V45" s="449"/>
      <c r="W45" s="449"/>
      <c r="X45" s="449"/>
      <c r="Y45" s="449">
        <f t="shared" si="15"/>
        <v>0</v>
      </c>
      <c r="Z45" s="449">
        <f t="shared" si="15"/>
        <v>0</v>
      </c>
      <c r="AA45" s="449">
        <f t="shared" si="15"/>
        <v>0</v>
      </c>
      <c r="AB45" s="449">
        <f t="shared" si="15"/>
        <v>0</v>
      </c>
      <c r="AC45" s="439"/>
    </row>
    <row r="46" spans="1:29" ht="16.5" hidden="1" thickTop="1" thickBot="1" x14ac:dyDescent="0.3">
      <c r="A46" s="444">
        <v>2</v>
      </c>
      <c r="B46" s="445" t="s">
        <v>231</v>
      </c>
      <c r="C46" s="445" t="s">
        <v>231</v>
      </c>
      <c r="D46" s="445" t="s">
        <v>313</v>
      </c>
      <c r="E46" s="444"/>
      <c r="F46" s="444"/>
      <c r="G46" s="444"/>
      <c r="H46" s="447" t="s">
        <v>826</v>
      </c>
      <c r="I46" s="619"/>
      <c r="J46" s="619"/>
      <c r="K46" s="619"/>
      <c r="L46" s="619"/>
      <c r="M46" s="619">
        <v>1872529196</v>
      </c>
      <c r="N46" s="619">
        <v>1872529196</v>
      </c>
      <c r="O46" s="619">
        <v>1872529196</v>
      </c>
      <c r="P46" s="619">
        <v>1872529196</v>
      </c>
      <c r="Q46" s="456"/>
      <c r="R46" s="456"/>
      <c r="S46" s="456"/>
      <c r="T46" s="456"/>
      <c r="U46" s="456"/>
      <c r="V46" s="456"/>
      <c r="W46" s="456"/>
      <c r="X46" s="456"/>
      <c r="Y46" s="456">
        <f t="shared" si="15"/>
        <v>1872529196</v>
      </c>
      <c r="Z46" s="456">
        <f t="shared" si="15"/>
        <v>1872529196</v>
      </c>
      <c r="AA46" s="456">
        <f t="shared" si="15"/>
        <v>1872529196</v>
      </c>
      <c r="AB46" s="456">
        <f t="shared" si="15"/>
        <v>1872529196</v>
      </c>
      <c r="AC46" s="439"/>
    </row>
    <row r="47" spans="1:29" ht="16.5" thickTop="1" thickBot="1" x14ac:dyDescent="0.3">
      <c r="A47" s="435">
        <v>2</v>
      </c>
      <c r="B47" s="435" t="s">
        <v>305</v>
      </c>
      <c r="C47" s="435"/>
      <c r="D47" s="435"/>
      <c r="E47" s="435"/>
      <c r="F47" s="435"/>
      <c r="G47" s="435"/>
      <c r="H47" s="436" t="s">
        <v>827</v>
      </c>
      <c r="I47" s="622">
        <f>+I48</f>
        <v>82353018411</v>
      </c>
      <c r="J47" s="612">
        <f>+J48</f>
        <v>81209729200</v>
      </c>
      <c r="K47" s="612">
        <f t="shared" ref="K47:L47" si="25">+K48</f>
        <v>29171438326</v>
      </c>
      <c r="L47" s="612">
        <f t="shared" si="25"/>
        <v>26698347669</v>
      </c>
      <c r="M47" s="612">
        <f>+M49+M61+M75</f>
        <v>7452665000</v>
      </c>
      <c r="N47" s="612">
        <f t="shared" ref="N47:P47" si="26">+N49+N61+N75</f>
        <v>7452665000</v>
      </c>
      <c r="O47" s="612">
        <f t="shared" si="26"/>
        <v>7133122000</v>
      </c>
      <c r="P47" s="612">
        <f t="shared" si="26"/>
        <v>7133122000</v>
      </c>
      <c r="Q47" s="437">
        <f t="shared" ref="Q47:X47" si="27">+Q49+Q61</f>
        <v>0</v>
      </c>
      <c r="R47" s="437">
        <f t="shared" si="27"/>
        <v>0</v>
      </c>
      <c r="S47" s="437">
        <f t="shared" si="27"/>
        <v>0</v>
      </c>
      <c r="T47" s="437">
        <f t="shared" si="27"/>
        <v>0</v>
      </c>
      <c r="U47" s="437">
        <f t="shared" si="27"/>
        <v>0</v>
      </c>
      <c r="V47" s="437">
        <f t="shared" si="27"/>
        <v>0</v>
      </c>
      <c r="W47" s="437">
        <f t="shared" si="27"/>
        <v>0</v>
      </c>
      <c r="X47" s="437">
        <f t="shared" si="27"/>
        <v>0</v>
      </c>
      <c r="Y47" s="668">
        <f t="shared" si="15"/>
        <v>89805683411</v>
      </c>
      <c r="Z47" s="623">
        <f t="shared" si="15"/>
        <v>88662394200</v>
      </c>
      <c r="AA47" s="468">
        <f t="shared" si="15"/>
        <v>36304560326</v>
      </c>
      <c r="AB47" s="468">
        <f t="shared" si="15"/>
        <v>33831469669</v>
      </c>
      <c r="AC47" s="439"/>
    </row>
    <row r="48" spans="1:29" ht="16.5" thickTop="1" thickBot="1" x14ac:dyDescent="0.3">
      <c r="A48" s="469"/>
      <c r="B48" s="440"/>
      <c r="C48" s="440"/>
      <c r="D48" s="440"/>
      <c r="E48" s="469"/>
      <c r="F48" s="469"/>
      <c r="G48" s="469"/>
      <c r="H48" s="441" t="s">
        <v>77</v>
      </c>
      <c r="I48" s="614">
        <f>+I49+I57+I68+I75+I81</f>
        <v>82353018411</v>
      </c>
      <c r="J48" s="622">
        <f>+J49+J57+J68+J75+J81</f>
        <v>81209729200</v>
      </c>
      <c r="K48" s="622">
        <f>+K49+K57+K68++K75+K81</f>
        <v>29171438326</v>
      </c>
      <c r="L48" s="622">
        <f t="shared" ref="L48" si="28">+L49+L57+L68+L75+L81</f>
        <v>26698347669</v>
      </c>
      <c r="M48" s="622">
        <f t="shared" ref="M48:AB48" si="29">+M49+M61</f>
        <v>452665000</v>
      </c>
      <c r="N48" s="622">
        <f t="shared" si="29"/>
        <v>452665000</v>
      </c>
      <c r="O48" s="622">
        <f t="shared" si="29"/>
        <v>133122000</v>
      </c>
      <c r="P48" s="622">
        <f t="shared" si="29"/>
        <v>133122000</v>
      </c>
      <c r="Q48" s="470">
        <f t="shared" si="29"/>
        <v>0</v>
      </c>
      <c r="R48" s="470">
        <f t="shared" si="29"/>
        <v>0</v>
      </c>
      <c r="S48" s="470">
        <f t="shared" si="29"/>
        <v>0</v>
      </c>
      <c r="T48" s="470">
        <f t="shared" si="29"/>
        <v>0</v>
      </c>
      <c r="U48" s="470">
        <f t="shared" si="29"/>
        <v>0</v>
      </c>
      <c r="V48" s="470">
        <f t="shared" si="29"/>
        <v>0</v>
      </c>
      <c r="W48" s="470">
        <f t="shared" si="29"/>
        <v>0</v>
      </c>
      <c r="X48" s="470">
        <f t="shared" si="29"/>
        <v>0</v>
      </c>
      <c r="Y48" s="470">
        <f>+Y49</f>
        <v>52172985552</v>
      </c>
      <c r="Z48" s="470">
        <f t="shared" si="29"/>
        <v>56718312286</v>
      </c>
      <c r="AA48" s="470">
        <f t="shared" si="29"/>
        <v>11566704943</v>
      </c>
      <c r="AB48" s="470">
        <f t="shared" si="29"/>
        <v>11169160998</v>
      </c>
      <c r="AC48" s="439"/>
    </row>
    <row r="49" spans="1:59" ht="19.5" thickTop="1" thickBot="1" x14ac:dyDescent="0.3">
      <c r="A49" s="469"/>
      <c r="B49" s="440"/>
      <c r="C49" s="440"/>
      <c r="D49" s="513"/>
      <c r="E49" s="514"/>
      <c r="F49" s="514"/>
      <c r="G49" s="514"/>
      <c r="H49" s="624" t="s">
        <v>2179</v>
      </c>
      <c r="I49" s="625">
        <f>+I50+I56</f>
        <v>52172985552</v>
      </c>
      <c r="J49" s="625">
        <f>+J50+J56</f>
        <v>51918722177</v>
      </c>
      <c r="K49" s="625">
        <f t="shared" ref="K49:P49" si="30">+K50+K56</f>
        <v>8970016738</v>
      </c>
      <c r="L49" s="625">
        <f t="shared" si="30"/>
        <v>8773950648</v>
      </c>
      <c r="M49" s="625">
        <f t="shared" si="30"/>
        <v>0</v>
      </c>
      <c r="N49" s="625">
        <f t="shared" si="30"/>
        <v>0</v>
      </c>
      <c r="O49" s="625">
        <f t="shared" si="30"/>
        <v>0</v>
      </c>
      <c r="P49" s="625">
        <f t="shared" si="30"/>
        <v>0</v>
      </c>
      <c r="Q49" s="627">
        <f t="shared" ref="Q49:X49" si="31">+Q50+Q57</f>
        <v>0</v>
      </c>
      <c r="R49" s="627">
        <f t="shared" si="31"/>
        <v>0</v>
      </c>
      <c r="S49" s="627">
        <f t="shared" si="31"/>
        <v>0</v>
      </c>
      <c r="T49" s="627">
        <f t="shared" si="31"/>
        <v>0</v>
      </c>
      <c r="U49" s="627">
        <f t="shared" si="31"/>
        <v>0</v>
      </c>
      <c r="V49" s="627">
        <f t="shared" si="31"/>
        <v>0</v>
      </c>
      <c r="W49" s="627">
        <f t="shared" si="31"/>
        <v>0</v>
      </c>
      <c r="X49" s="627">
        <f t="shared" si="31"/>
        <v>0</v>
      </c>
      <c r="Y49" s="628">
        <f>+I49+M49+Q49+U49</f>
        <v>52172985552</v>
      </c>
      <c r="Z49" s="628">
        <f>+J49+N49+R49+V49</f>
        <v>51918722177</v>
      </c>
      <c r="AA49" s="628">
        <f>+K49+O49+S49+W49</f>
        <v>8970016738</v>
      </c>
      <c r="AB49" s="628">
        <f>+L49+P49+T49+X49</f>
        <v>8773950648</v>
      </c>
      <c r="AC49" s="439"/>
    </row>
    <row r="50" spans="1:59" ht="15.75" customHeight="1" thickTop="1" thickBot="1" x14ac:dyDescent="0.3">
      <c r="A50" s="461"/>
      <c r="B50" s="461"/>
      <c r="C50" s="461"/>
      <c r="D50" s="461"/>
      <c r="E50" s="461"/>
      <c r="F50" s="461"/>
      <c r="G50" s="461"/>
      <c r="H50" s="629" t="s">
        <v>2180</v>
      </c>
      <c r="I50" s="618">
        <f>+I51</f>
        <v>50248875976</v>
      </c>
      <c r="J50" s="621">
        <f>+J51</f>
        <v>49994612601</v>
      </c>
      <c r="K50" s="621">
        <f t="shared" ref="K50:X52" si="32">+K51</f>
        <v>7045907162</v>
      </c>
      <c r="L50" s="621">
        <f t="shared" si="32"/>
        <v>6849841072</v>
      </c>
      <c r="M50" s="621">
        <f t="shared" si="32"/>
        <v>0</v>
      </c>
      <c r="N50" s="621">
        <f t="shared" si="32"/>
        <v>0</v>
      </c>
      <c r="O50" s="621">
        <f t="shared" si="32"/>
        <v>0</v>
      </c>
      <c r="P50" s="621">
        <f t="shared" si="32"/>
        <v>0</v>
      </c>
      <c r="Q50" s="463">
        <f t="shared" si="32"/>
        <v>0</v>
      </c>
      <c r="R50" s="463">
        <f t="shared" si="32"/>
        <v>0</v>
      </c>
      <c r="S50" s="463">
        <f t="shared" si="32"/>
        <v>0</v>
      </c>
      <c r="T50" s="463">
        <f t="shared" si="32"/>
        <v>0</v>
      </c>
      <c r="U50" s="463">
        <f t="shared" si="32"/>
        <v>0</v>
      </c>
      <c r="V50" s="463">
        <f t="shared" si="32"/>
        <v>0</v>
      </c>
      <c r="W50" s="463">
        <f t="shared" si="32"/>
        <v>0</v>
      </c>
      <c r="X50" s="463">
        <f t="shared" si="32"/>
        <v>0</v>
      </c>
      <c r="Y50" s="464">
        <f t="shared" si="15"/>
        <v>50248875976</v>
      </c>
      <c r="Z50" s="464">
        <f t="shared" si="15"/>
        <v>49994612601</v>
      </c>
      <c r="AA50" s="464">
        <f t="shared" si="15"/>
        <v>7045907162</v>
      </c>
      <c r="AB50" s="464">
        <f t="shared" si="15"/>
        <v>6849841072</v>
      </c>
      <c r="AC50" s="439"/>
    </row>
    <row r="51" spans="1:59" ht="15.75" customHeight="1" thickTop="1" thickBot="1" x14ac:dyDescent="0.3">
      <c r="A51" s="461"/>
      <c r="B51" s="461"/>
      <c r="C51" s="461"/>
      <c r="D51" s="461"/>
      <c r="E51" s="461"/>
      <c r="F51" s="461"/>
      <c r="G51" s="461"/>
      <c r="H51" s="471" t="s">
        <v>2181</v>
      </c>
      <c r="I51" s="621">
        <f>+I52+I53+I54+I55</f>
        <v>50248875976</v>
      </c>
      <c r="J51" s="621">
        <f>+J52+J53+J54+J55</f>
        <v>49994612601</v>
      </c>
      <c r="K51" s="621">
        <f t="shared" ref="K51:L51" si="33">+K52+K53+K54+K55</f>
        <v>7045907162</v>
      </c>
      <c r="L51" s="621">
        <f t="shared" si="33"/>
        <v>6849841072</v>
      </c>
      <c r="M51" s="621">
        <f t="shared" si="32"/>
        <v>0</v>
      </c>
      <c r="N51" s="621">
        <f t="shared" si="32"/>
        <v>0</v>
      </c>
      <c r="O51" s="621">
        <f t="shared" si="32"/>
        <v>0</v>
      </c>
      <c r="P51" s="621">
        <f t="shared" si="32"/>
        <v>0</v>
      </c>
      <c r="Q51" s="463">
        <f t="shared" si="32"/>
        <v>0</v>
      </c>
      <c r="R51" s="463">
        <f t="shared" si="32"/>
        <v>0</v>
      </c>
      <c r="S51" s="463">
        <f t="shared" si="32"/>
        <v>0</v>
      </c>
      <c r="T51" s="463">
        <f t="shared" si="32"/>
        <v>0</v>
      </c>
      <c r="U51" s="463">
        <f t="shared" si="32"/>
        <v>0</v>
      </c>
      <c r="V51" s="463">
        <f t="shared" si="32"/>
        <v>0</v>
      </c>
      <c r="W51" s="463">
        <f t="shared" si="32"/>
        <v>0</v>
      </c>
      <c r="X51" s="463">
        <f t="shared" si="32"/>
        <v>0</v>
      </c>
      <c r="Y51" s="464">
        <f t="shared" si="15"/>
        <v>50248875976</v>
      </c>
      <c r="Z51" s="464">
        <f t="shared" si="15"/>
        <v>49994612601</v>
      </c>
      <c r="AA51" s="464">
        <f t="shared" si="15"/>
        <v>7045907162</v>
      </c>
      <c r="AB51" s="464">
        <f t="shared" si="15"/>
        <v>6849841072</v>
      </c>
      <c r="AC51" s="439"/>
    </row>
    <row r="52" spans="1:59" ht="15.75" customHeight="1" thickTop="1" thickBot="1" x14ac:dyDescent="0.3">
      <c r="A52" s="444"/>
      <c r="B52" s="444"/>
      <c r="C52" s="444"/>
      <c r="D52" s="444"/>
      <c r="E52" s="445"/>
      <c r="F52" s="445"/>
      <c r="G52" s="444"/>
      <c r="H52" s="472" t="s">
        <v>2182</v>
      </c>
      <c r="I52" s="616">
        <f>17366862579+19560122973</f>
        <v>36926985552</v>
      </c>
      <c r="J52" s="616">
        <f>17126564694+19559917543</f>
        <v>36686482237</v>
      </c>
      <c r="K52" s="616">
        <f>6329817324+450029838</f>
        <v>6779847162</v>
      </c>
      <c r="L52" s="616">
        <f>6133751234+450029838</f>
        <v>6583781072</v>
      </c>
      <c r="M52" s="616">
        <f t="shared" si="32"/>
        <v>0</v>
      </c>
      <c r="N52" s="616">
        <f t="shared" si="32"/>
        <v>0</v>
      </c>
      <c r="O52" s="616">
        <f t="shared" si="32"/>
        <v>0</v>
      </c>
      <c r="P52" s="616">
        <f t="shared" si="32"/>
        <v>0</v>
      </c>
      <c r="Q52" s="448">
        <f t="shared" si="32"/>
        <v>0</v>
      </c>
      <c r="R52" s="448">
        <f t="shared" si="32"/>
        <v>0</v>
      </c>
      <c r="S52" s="448">
        <f t="shared" si="32"/>
        <v>0</v>
      </c>
      <c r="T52" s="448">
        <f t="shared" si="32"/>
        <v>0</v>
      </c>
      <c r="U52" s="448">
        <f t="shared" si="32"/>
        <v>0</v>
      </c>
      <c r="V52" s="448">
        <f t="shared" si="32"/>
        <v>0</v>
      </c>
      <c r="W52" s="448">
        <f t="shared" si="32"/>
        <v>0</v>
      </c>
      <c r="X52" s="448">
        <f t="shared" si="32"/>
        <v>0</v>
      </c>
      <c r="Y52" s="449">
        <f t="shared" si="15"/>
        <v>36926985552</v>
      </c>
      <c r="Z52" s="449">
        <f t="shared" si="15"/>
        <v>36686482237</v>
      </c>
      <c r="AA52" s="449">
        <f t="shared" si="15"/>
        <v>6779847162</v>
      </c>
      <c r="AB52" s="449">
        <f t="shared" si="15"/>
        <v>6583781072</v>
      </c>
      <c r="AC52" s="439"/>
    </row>
    <row r="53" spans="1:59" ht="15.75" customHeight="1" thickTop="1" thickBot="1" x14ac:dyDescent="0.3">
      <c r="A53" s="444"/>
      <c r="B53" s="444"/>
      <c r="C53" s="444"/>
      <c r="D53" s="444"/>
      <c r="E53" s="445"/>
      <c r="F53" s="445"/>
      <c r="G53" s="445"/>
      <c r="H53" s="472" t="s">
        <v>2183</v>
      </c>
      <c r="I53" s="616">
        <f>1700000000+10638890424</f>
        <v>12338890424</v>
      </c>
      <c r="J53" s="616">
        <f>1699972800+10634240776</f>
        <v>12334213576</v>
      </c>
      <c r="K53" s="616">
        <f>100400000+100400000</f>
        <v>200800000</v>
      </c>
      <c r="L53" s="616">
        <f>100400000+100400000</f>
        <v>200800000</v>
      </c>
      <c r="M53" s="616"/>
      <c r="N53" s="616"/>
      <c r="O53" s="616"/>
      <c r="P53" s="616"/>
      <c r="Q53" s="448"/>
      <c r="R53" s="448"/>
      <c r="S53" s="448"/>
      <c r="T53" s="448"/>
      <c r="U53" s="448"/>
      <c r="V53" s="448"/>
      <c r="W53" s="448"/>
      <c r="X53" s="448"/>
      <c r="Y53" s="449">
        <f t="shared" si="15"/>
        <v>12338890424</v>
      </c>
      <c r="Z53" s="449">
        <f t="shared" si="15"/>
        <v>12334213576</v>
      </c>
      <c r="AA53" s="449">
        <f t="shared" si="15"/>
        <v>200800000</v>
      </c>
      <c r="AB53" s="449">
        <f t="shared" si="15"/>
        <v>200800000</v>
      </c>
      <c r="AC53" s="439"/>
    </row>
    <row r="54" spans="1:59" ht="15.75" customHeight="1" thickTop="1" thickBot="1" x14ac:dyDescent="0.3">
      <c r="A54" s="444"/>
      <c r="B54" s="444"/>
      <c r="C54" s="444"/>
      <c r="D54" s="444"/>
      <c r="E54" s="445"/>
      <c r="F54" s="445"/>
      <c r="G54" s="445"/>
      <c r="H54" s="472" t="s">
        <v>2184</v>
      </c>
      <c r="I54" s="616">
        <f>357000000+456000000</f>
        <v>813000000</v>
      </c>
      <c r="J54" s="616">
        <f>353467120+454789668</f>
        <v>808256788</v>
      </c>
      <c r="K54" s="616">
        <v>0</v>
      </c>
      <c r="L54" s="616">
        <v>0</v>
      </c>
      <c r="M54" s="616"/>
      <c r="N54" s="616"/>
      <c r="O54" s="616"/>
      <c r="P54" s="616"/>
      <c r="Q54" s="448"/>
      <c r="R54" s="448"/>
      <c r="S54" s="448"/>
      <c r="T54" s="448"/>
      <c r="U54" s="448"/>
      <c r="V54" s="448"/>
      <c r="W54" s="448"/>
      <c r="X54" s="448"/>
      <c r="Y54" s="449">
        <f t="shared" si="15"/>
        <v>813000000</v>
      </c>
      <c r="Z54" s="449">
        <f t="shared" ref="Z54:Z56" si="34">+J54+N54+R54+V54</f>
        <v>808256788</v>
      </c>
      <c r="AA54" s="449">
        <f t="shared" ref="AA54:AA56" si="35">+K54+O54+S54+W54</f>
        <v>0</v>
      </c>
      <c r="AB54" s="449">
        <f t="shared" ref="AB54:AB56" si="36">+L54+P54+T54+X54</f>
        <v>0</v>
      </c>
      <c r="AC54" s="439"/>
    </row>
    <row r="55" spans="1:59" ht="15.75" customHeight="1" thickTop="1" thickBot="1" x14ac:dyDescent="0.3">
      <c r="A55" s="444"/>
      <c r="B55" s="444"/>
      <c r="C55" s="444"/>
      <c r="D55" s="444"/>
      <c r="E55" s="445"/>
      <c r="F55" s="445"/>
      <c r="G55" s="445"/>
      <c r="H55" s="472" t="s">
        <v>2185</v>
      </c>
      <c r="I55" s="616">
        <f>100000000+70000000</f>
        <v>170000000</v>
      </c>
      <c r="J55" s="616">
        <f>95661120+69998880</f>
        <v>165660000</v>
      </c>
      <c r="K55" s="616">
        <v>65260000</v>
      </c>
      <c r="L55" s="616">
        <v>65260000</v>
      </c>
      <c r="M55" s="616"/>
      <c r="N55" s="616"/>
      <c r="O55" s="616"/>
      <c r="P55" s="616"/>
      <c r="Q55" s="448"/>
      <c r="R55" s="448"/>
      <c r="S55" s="448"/>
      <c r="T55" s="448"/>
      <c r="U55" s="448"/>
      <c r="V55" s="448"/>
      <c r="W55" s="448"/>
      <c r="X55" s="448"/>
      <c r="Y55" s="449">
        <f t="shared" si="15"/>
        <v>170000000</v>
      </c>
      <c r="Z55" s="449">
        <f t="shared" si="34"/>
        <v>165660000</v>
      </c>
      <c r="AA55" s="449">
        <f t="shared" si="35"/>
        <v>65260000</v>
      </c>
      <c r="AB55" s="449">
        <f t="shared" si="36"/>
        <v>65260000</v>
      </c>
      <c r="AC55" s="439"/>
    </row>
    <row r="56" spans="1:59" ht="15.75" customHeight="1" thickTop="1" thickBot="1" x14ac:dyDescent="0.3">
      <c r="A56" s="444"/>
      <c r="B56" s="444"/>
      <c r="C56" s="444"/>
      <c r="D56" s="444"/>
      <c r="E56" s="445"/>
      <c r="F56" s="445"/>
      <c r="G56" s="445"/>
      <c r="H56" s="472" t="s">
        <v>2642</v>
      </c>
      <c r="I56" s="616">
        <v>1924109576</v>
      </c>
      <c r="J56" s="616">
        <v>1924109576</v>
      </c>
      <c r="K56" s="616">
        <v>1924109576</v>
      </c>
      <c r="L56" s="616">
        <v>1924109576</v>
      </c>
      <c r="M56" s="616"/>
      <c r="N56" s="616"/>
      <c r="O56" s="616"/>
      <c r="P56" s="616"/>
      <c r="Q56" s="448"/>
      <c r="R56" s="448"/>
      <c r="S56" s="448"/>
      <c r="T56" s="448"/>
      <c r="U56" s="448"/>
      <c r="V56" s="448"/>
      <c r="W56" s="448"/>
      <c r="X56" s="448"/>
      <c r="Y56" s="449">
        <f t="shared" si="15"/>
        <v>1924109576</v>
      </c>
      <c r="Z56" s="449">
        <f t="shared" si="34"/>
        <v>1924109576</v>
      </c>
      <c r="AA56" s="449">
        <f t="shared" si="35"/>
        <v>1924109576</v>
      </c>
      <c r="AB56" s="449">
        <f t="shared" si="36"/>
        <v>1924109576</v>
      </c>
      <c r="AC56" s="439"/>
    </row>
    <row r="57" spans="1:59" ht="15.75" customHeight="1" thickTop="1" thickBot="1" x14ac:dyDescent="0.3">
      <c r="A57" s="461"/>
      <c r="B57" s="461"/>
      <c r="C57" s="461"/>
      <c r="D57" s="461"/>
      <c r="E57" s="461"/>
      <c r="F57" s="461"/>
      <c r="G57" s="461"/>
      <c r="H57" s="624" t="s">
        <v>2186</v>
      </c>
      <c r="I57" s="630">
        <f>+I58+I61+I65</f>
        <v>6194030000</v>
      </c>
      <c r="J57" s="630">
        <f>+J58+J61+J65</f>
        <v>6192166656</v>
      </c>
      <c r="K57" s="630">
        <f>+K58+K61+K65</f>
        <v>4308807752</v>
      </c>
      <c r="L57" s="630">
        <f>+L58+L61+L65</f>
        <v>3934792497</v>
      </c>
      <c r="M57" s="631">
        <f>+M58+M61+M65</f>
        <v>452665000</v>
      </c>
      <c r="N57" s="631">
        <f t="shared" ref="N57:O57" si="37">+N58+N61+N65</f>
        <v>452665000</v>
      </c>
      <c r="O57" s="631">
        <f t="shared" si="37"/>
        <v>133122000</v>
      </c>
      <c r="P57" s="631">
        <f>+P58+P61+P65</f>
        <v>133122000</v>
      </c>
      <c r="Q57" s="632">
        <f t="shared" ref="Q57:X57" si="38">+Q58</f>
        <v>0</v>
      </c>
      <c r="R57" s="632">
        <f t="shared" si="38"/>
        <v>0</v>
      </c>
      <c r="S57" s="632">
        <f t="shared" si="38"/>
        <v>0</v>
      </c>
      <c r="T57" s="632">
        <f t="shared" si="38"/>
        <v>0</v>
      </c>
      <c r="U57" s="632">
        <f t="shared" si="38"/>
        <v>0</v>
      </c>
      <c r="V57" s="632">
        <f t="shared" si="38"/>
        <v>0</v>
      </c>
      <c r="W57" s="632">
        <f t="shared" si="38"/>
        <v>0</v>
      </c>
      <c r="X57" s="632">
        <f t="shared" si="38"/>
        <v>0</v>
      </c>
      <c r="Y57" s="633">
        <f>+I57+M57+Q57+U57</f>
        <v>6646695000</v>
      </c>
      <c r="Z57" s="633">
        <f t="shared" si="15"/>
        <v>6644831656</v>
      </c>
      <c r="AA57" s="633">
        <f t="shared" si="15"/>
        <v>4441929752</v>
      </c>
      <c r="AB57" s="633">
        <f t="shared" si="15"/>
        <v>4067914497</v>
      </c>
      <c r="AC57" s="439"/>
    </row>
    <row r="58" spans="1:59" ht="27.75" thickTop="1" thickBot="1" x14ac:dyDescent="0.3">
      <c r="A58" s="461"/>
      <c r="B58" s="461"/>
      <c r="C58" s="461"/>
      <c r="D58" s="461"/>
      <c r="E58" s="461"/>
      <c r="F58" s="461"/>
      <c r="G58" s="461"/>
      <c r="H58" s="634" t="s">
        <v>2187</v>
      </c>
      <c r="I58" s="618">
        <f>+I59</f>
        <v>0</v>
      </c>
      <c r="J58" s="618">
        <f t="shared" ref="J58:X59" si="39">+J59</f>
        <v>0</v>
      </c>
      <c r="K58" s="618">
        <f t="shared" si="39"/>
        <v>0</v>
      </c>
      <c r="L58" s="618">
        <f t="shared" si="39"/>
        <v>0</v>
      </c>
      <c r="M58" s="621">
        <f t="shared" si="39"/>
        <v>0</v>
      </c>
      <c r="N58" s="621">
        <f t="shared" si="39"/>
        <v>0</v>
      </c>
      <c r="O58" s="621">
        <f t="shared" si="39"/>
        <v>0</v>
      </c>
      <c r="P58" s="621">
        <f t="shared" si="39"/>
        <v>0</v>
      </c>
      <c r="Q58" s="463">
        <f t="shared" si="39"/>
        <v>0</v>
      </c>
      <c r="R58" s="463">
        <f t="shared" si="39"/>
        <v>0</v>
      </c>
      <c r="S58" s="463">
        <f t="shared" si="39"/>
        <v>0</v>
      </c>
      <c r="T58" s="463">
        <f t="shared" si="39"/>
        <v>0</v>
      </c>
      <c r="U58" s="463">
        <f t="shared" si="39"/>
        <v>0</v>
      </c>
      <c r="V58" s="463">
        <f t="shared" si="39"/>
        <v>0</v>
      </c>
      <c r="W58" s="463">
        <f t="shared" si="39"/>
        <v>0</v>
      </c>
      <c r="X58" s="463">
        <f t="shared" si="39"/>
        <v>0</v>
      </c>
      <c r="Y58" s="464">
        <f t="shared" si="15"/>
        <v>0</v>
      </c>
      <c r="Z58" s="464">
        <f t="shared" si="15"/>
        <v>0</v>
      </c>
      <c r="AA58" s="464">
        <f t="shared" si="15"/>
        <v>0</v>
      </c>
      <c r="AB58" s="464">
        <f t="shared" si="15"/>
        <v>0</v>
      </c>
      <c r="AC58" s="439"/>
    </row>
    <row r="59" spans="1:59" ht="15.75" customHeight="1" thickTop="1" thickBot="1" x14ac:dyDescent="0.3">
      <c r="A59" s="444"/>
      <c r="B59" s="444"/>
      <c r="C59" s="444"/>
      <c r="D59" s="444"/>
      <c r="E59" s="445"/>
      <c r="F59" s="445"/>
      <c r="G59" s="444"/>
      <c r="H59" s="471" t="s">
        <v>2188</v>
      </c>
      <c r="I59" s="635">
        <f>+I60</f>
        <v>0</v>
      </c>
      <c r="J59" s="635">
        <f t="shared" si="39"/>
        <v>0</v>
      </c>
      <c r="K59" s="635">
        <f t="shared" si="39"/>
        <v>0</v>
      </c>
      <c r="L59" s="635">
        <f t="shared" si="39"/>
        <v>0</v>
      </c>
      <c r="M59" s="636">
        <f t="shared" si="39"/>
        <v>0</v>
      </c>
      <c r="N59" s="636">
        <f t="shared" si="39"/>
        <v>0</v>
      </c>
      <c r="O59" s="636">
        <f t="shared" si="39"/>
        <v>0</v>
      </c>
      <c r="P59" s="636">
        <f t="shared" si="39"/>
        <v>0</v>
      </c>
      <c r="Q59" s="637">
        <f t="shared" si="39"/>
        <v>0</v>
      </c>
      <c r="R59" s="637">
        <f t="shared" si="39"/>
        <v>0</v>
      </c>
      <c r="S59" s="637">
        <f t="shared" si="39"/>
        <v>0</v>
      </c>
      <c r="T59" s="637">
        <f t="shared" si="39"/>
        <v>0</v>
      </c>
      <c r="U59" s="637">
        <f t="shared" si="39"/>
        <v>0</v>
      </c>
      <c r="V59" s="637">
        <f t="shared" si="39"/>
        <v>0</v>
      </c>
      <c r="W59" s="637">
        <f t="shared" si="39"/>
        <v>0</v>
      </c>
      <c r="X59" s="637">
        <f t="shared" si="39"/>
        <v>0</v>
      </c>
      <c r="Y59" s="638">
        <f t="shared" si="15"/>
        <v>0</v>
      </c>
      <c r="Z59" s="638">
        <f t="shared" si="15"/>
        <v>0</v>
      </c>
      <c r="AA59" s="638">
        <f t="shared" si="15"/>
        <v>0</v>
      </c>
      <c r="AB59" s="638">
        <f t="shared" si="15"/>
        <v>0</v>
      </c>
      <c r="AC59" s="1193"/>
    </row>
    <row r="60" spans="1:59" ht="15.75" customHeight="1" thickTop="1" thickBot="1" x14ac:dyDescent="0.3">
      <c r="A60" s="444"/>
      <c r="B60" s="444"/>
      <c r="C60" s="444"/>
      <c r="D60" s="444"/>
      <c r="E60" s="445"/>
      <c r="F60" s="445"/>
      <c r="G60" s="444"/>
      <c r="H60" s="472" t="s">
        <v>2189</v>
      </c>
      <c r="I60" s="616">
        <v>0</v>
      </c>
      <c r="J60" s="616">
        <v>0</v>
      </c>
      <c r="K60" s="616">
        <v>0</v>
      </c>
      <c r="L60" s="616">
        <v>0</v>
      </c>
      <c r="M60" s="616"/>
      <c r="N60" s="616"/>
      <c r="O60" s="616"/>
      <c r="P60" s="616"/>
      <c r="Q60" s="448"/>
      <c r="R60" s="448"/>
      <c r="S60" s="448"/>
      <c r="T60" s="448"/>
      <c r="U60" s="448"/>
      <c r="V60" s="448"/>
      <c r="W60" s="448"/>
      <c r="X60" s="448"/>
      <c r="Y60" s="449">
        <f t="shared" si="15"/>
        <v>0</v>
      </c>
      <c r="Z60" s="449">
        <f t="shared" si="15"/>
        <v>0</v>
      </c>
      <c r="AA60" s="449">
        <f t="shared" si="15"/>
        <v>0</v>
      </c>
      <c r="AB60" s="449">
        <f t="shared" si="15"/>
        <v>0</v>
      </c>
      <c r="AC60" s="439"/>
    </row>
    <row r="61" spans="1:59" s="469" customFormat="1" ht="15.75" customHeight="1" thickTop="1" thickBot="1" x14ac:dyDescent="0.3">
      <c r="H61" s="441" t="s">
        <v>2190</v>
      </c>
      <c r="I61" s="639">
        <f>+I62</f>
        <v>4348700000</v>
      </c>
      <c r="J61" s="639">
        <f>+J62</f>
        <v>4346925109</v>
      </c>
      <c r="K61" s="639">
        <f>+K62</f>
        <v>2463566205</v>
      </c>
      <c r="L61" s="639">
        <f>+L62</f>
        <v>2262088350</v>
      </c>
      <c r="M61" s="658">
        <f t="shared" ref="M61:X61" si="40">+M62+M66</f>
        <v>452665000</v>
      </c>
      <c r="N61" s="658">
        <f t="shared" si="40"/>
        <v>452665000</v>
      </c>
      <c r="O61" s="658">
        <f t="shared" si="40"/>
        <v>133122000</v>
      </c>
      <c r="P61" s="658">
        <f t="shared" si="40"/>
        <v>133122000</v>
      </c>
      <c r="Q61" s="473">
        <f t="shared" si="40"/>
        <v>0</v>
      </c>
      <c r="R61" s="473">
        <f t="shared" si="40"/>
        <v>0</v>
      </c>
      <c r="S61" s="473">
        <f t="shared" si="40"/>
        <v>0</v>
      </c>
      <c r="T61" s="473">
        <f t="shared" si="40"/>
        <v>0</v>
      </c>
      <c r="U61" s="473">
        <f t="shared" si="40"/>
        <v>0</v>
      </c>
      <c r="V61" s="473">
        <f t="shared" si="40"/>
        <v>0</v>
      </c>
      <c r="W61" s="473">
        <f t="shared" si="40"/>
        <v>0</v>
      </c>
      <c r="X61" s="473">
        <f t="shared" si="40"/>
        <v>0</v>
      </c>
      <c r="Y61" s="1173">
        <f t="shared" si="15"/>
        <v>4801365000</v>
      </c>
      <c r="Z61" s="1173">
        <f t="shared" si="15"/>
        <v>4799590109</v>
      </c>
      <c r="AA61" s="1173">
        <f t="shared" si="15"/>
        <v>2596688205</v>
      </c>
      <c r="AB61" s="1173">
        <f t="shared" si="15"/>
        <v>2395210350</v>
      </c>
      <c r="AC61" s="439"/>
      <c r="AD61"/>
      <c r="AE61"/>
      <c r="AF61"/>
      <c r="AG61"/>
      <c r="AH61"/>
      <c r="AI61"/>
      <c r="AJ61"/>
      <c r="AK61"/>
      <c r="AL61"/>
      <c r="AM61"/>
      <c r="AN61"/>
      <c r="AO61"/>
      <c r="AP61"/>
      <c r="AQ61"/>
      <c r="AR61"/>
      <c r="AS61"/>
      <c r="AT61"/>
      <c r="AU61"/>
      <c r="AV61"/>
      <c r="AW61"/>
      <c r="AX61"/>
      <c r="AY61"/>
      <c r="AZ61"/>
      <c r="BA61"/>
      <c r="BB61"/>
      <c r="BC61"/>
      <c r="BD61"/>
      <c r="BE61"/>
      <c r="BF61"/>
      <c r="BG61"/>
    </row>
    <row r="62" spans="1:59" s="461" customFormat="1" ht="15.75" customHeight="1" thickTop="1" thickBot="1" x14ac:dyDescent="0.3">
      <c r="H62" s="471" t="s">
        <v>2191</v>
      </c>
      <c r="I62" s="621">
        <f>+I63+I64</f>
        <v>4348700000</v>
      </c>
      <c r="J62" s="621">
        <f>+J63+J64</f>
        <v>4346925109</v>
      </c>
      <c r="K62" s="621">
        <f>+K63+K64</f>
        <v>2463566205</v>
      </c>
      <c r="L62" s="621">
        <f>+L63+L64</f>
        <v>2262088350</v>
      </c>
      <c r="M62" s="621">
        <f t="shared" ref="M62:X64" si="41">+M63</f>
        <v>452665000</v>
      </c>
      <c r="N62" s="621">
        <f t="shared" si="41"/>
        <v>452665000</v>
      </c>
      <c r="O62" s="621">
        <f t="shared" si="41"/>
        <v>133122000</v>
      </c>
      <c r="P62" s="621">
        <f t="shared" si="41"/>
        <v>133122000</v>
      </c>
      <c r="Q62" s="463">
        <f t="shared" si="41"/>
        <v>0</v>
      </c>
      <c r="R62" s="463">
        <f t="shared" si="41"/>
        <v>0</v>
      </c>
      <c r="S62" s="463">
        <f t="shared" si="41"/>
        <v>0</v>
      </c>
      <c r="T62" s="463">
        <f t="shared" si="41"/>
        <v>0</v>
      </c>
      <c r="U62" s="463">
        <f t="shared" si="41"/>
        <v>0</v>
      </c>
      <c r="V62" s="463">
        <f t="shared" si="41"/>
        <v>0</v>
      </c>
      <c r="W62" s="463">
        <f t="shared" si="41"/>
        <v>0</v>
      </c>
      <c r="X62" s="463">
        <f t="shared" si="41"/>
        <v>0</v>
      </c>
      <c r="Y62" s="464">
        <f t="shared" si="15"/>
        <v>4801365000</v>
      </c>
      <c r="Z62" s="464">
        <f t="shared" si="15"/>
        <v>4799590109</v>
      </c>
      <c r="AA62" s="464">
        <f t="shared" si="15"/>
        <v>2596688205</v>
      </c>
      <c r="AB62" s="464">
        <f t="shared" si="15"/>
        <v>2395210350</v>
      </c>
      <c r="AC62" s="439"/>
      <c r="AD62"/>
      <c r="AE62"/>
      <c r="AF62"/>
      <c r="AG62"/>
      <c r="AH62"/>
      <c r="AI62"/>
      <c r="AJ62"/>
      <c r="AK62"/>
      <c r="AL62"/>
      <c r="AM62"/>
      <c r="AN62"/>
      <c r="AO62"/>
      <c r="AP62"/>
      <c r="AQ62"/>
      <c r="AR62"/>
      <c r="AS62"/>
      <c r="AT62"/>
      <c r="AU62"/>
      <c r="AV62"/>
      <c r="AW62"/>
      <c r="AX62"/>
      <c r="AY62"/>
      <c r="AZ62"/>
      <c r="BA62"/>
      <c r="BB62"/>
      <c r="BC62"/>
      <c r="BD62"/>
      <c r="BE62"/>
      <c r="BF62"/>
      <c r="BG62"/>
    </row>
    <row r="63" spans="1:59" ht="15.75" customHeight="1" thickTop="1" thickBot="1" x14ac:dyDescent="0.3">
      <c r="A63" s="461"/>
      <c r="B63" s="461"/>
      <c r="C63" s="461"/>
      <c r="D63" s="461"/>
      <c r="E63" s="461"/>
      <c r="F63" s="461"/>
      <c r="G63" s="461"/>
      <c r="H63" s="472" t="s">
        <v>2192</v>
      </c>
      <c r="I63" s="616">
        <f>2587397536+962602464</f>
        <v>3550000000</v>
      </c>
      <c r="J63" s="619">
        <f>2586555627+962490682</f>
        <v>3549046309</v>
      </c>
      <c r="K63" s="619">
        <f>1804056699+474070706</f>
        <v>2278127405</v>
      </c>
      <c r="L63" s="619">
        <f>1788017644+474070706</f>
        <v>2262088350</v>
      </c>
      <c r="M63" s="619">
        <v>452665000</v>
      </c>
      <c r="N63" s="619">
        <v>452665000</v>
      </c>
      <c r="O63" s="619">
        <v>133122000</v>
      </c>
      <c r="P63" s="619">
        <v>133122000</v>
      </c>
      <c r="Q63" s="455">
        <f t="shared" si="41"/>
        <v>0</v>
      </c>
      <c r="R63" s="455">
        <f t="shared" si="41"/>
        <v>0</v>
      </c>
      <c r="S63" s="455">
        <f t="shared" si="41"/>
        <v>0</v>
      </c>
      <c r="T63" s="455">
        <f t="shared" si="41"/>
        <v>0</v>
      </c>
      <c r="U63" s="455">
        <f t="shared" si="41"/>
        <v>0</v>
      </c>
      <c r="V63" s="455">
        <f t="shared" si="41"/>
        <v>0</v>
      </c>
      <c r="W63" s="455">
        <f t="shared" si="41"/>
        <v>0</v>
      </c>
      <c r="X63" s="455">
        <f t="shared" si="41"/>
        <v>0</v>
      </c>
      <c r="Y63" s="456">
        <f t="shared" si="15"/>
        <v>4002665000</v>
      </c>
      <c r="Z63" s="456">
        <f t="shared" si="15"/>
        <v>4001711309</v>
      </c>
      <c r="AA63" s="456">
        <f t="shared" si="15"/>
        <v>2411249405</v>
      </c>
      <c r="AB63" s="456">
        <f t="shared" si="15"/>
        <v>2395210350</v>
      </c>
      <c r="AC63" s="439"/>
    </row>
    <row r="64" spans="1:59" ht="15.75" customHeight="1" thickTop="1" thickBot="1" x14ac:dyDescent="0.3">
      <c r="A64" s="444"/>
      <c r="B64" s="444"/>
      <c r="C64" s="446"/>
      <c r="D64" s="444"/>
      <c r="E64" s="445"/>
      <c r="F64" s="444"/>
      <c r="G64" s="444"/>
      <c r="H64" s="472" t="s">
        <v>2193</v>
      </c>
      <c r="I64" s="616">
        <f>487000000+311700000</f>
        <v>798700000</v>
      </c>
      <c r="J64" s="616">
        <f>486638800+311240000</f>
        <v>797878800</v>
      </c>
      <c r="K64" s="616">
        <v>185438800</v>
      </c>
      <c r="L64" s="616">
        <v>0</v>
      </c>
      <c r="M64" s="616">
        <f t="shared" si="41"/>
        <v>0</v>
      </c>
      <c r="N64" s="616">
        <f t="shared" si="41"/>
        <v>0</v>
      </c>
      <c r="O64" s="616">
        <f t="shared" si="41"/>
        <v>0</v>
      </c>
      <c r="P64" s="616">
        <f t="shared" si="41"/>
        <v>0</v>
      </c>
      <c r="Q64" s="448">
        <f t="shared" si="41"/>
        <v>0</v>
      </c>
      <c r="R64" s="448">
        <f t="shared" si="41"/>
        <v>0</v>
      </c>
      <c r="S64" s="448">
        <f t="shared" si="41"/>
        <v>0</v>
      </c>
      <c r="T64" s="448">
        <f t="shared" si="41"/>
        <v>0</v>
      </c>
      <c r="U64" s="448">
        <f t="shared" si="41"/>
        <v>0</v>
      </c>
      <c r="V64" s="448">
        <f t="shared" si="41"/>
        <v>0</v>
      </c>
      <c r="W64" s="448">
        <f t="shared" si="41"/>
        <v>0</v>
      </c>
      <c r="X64" s="448">
        <f t="shared" si="41"/>
        <v>0</v>
      </c>
      <c r="Y64" s="449">
        <f t="shared" si="15"/>
        <v>798700000</v>
      </c>
      <c r="Z64" s="449">
        <f t="shared" si="15"/>
        <v>797878800</v>
      </c>
      <c r="AA64" s="449">
        <f t="shared" si="15"/>
        <v>185438800</v>
      </c>
      <c r="AB64" s="449">
        <f t="shared" si="15"/>
        <v>0</v>
      </c>
      <c r="AC64" s="439"/>
    </row>
    <row r="65" spans="1:59" ht="15.75" customHeight="1" thickTop="1" thickBot="1" x14ac:dyDescent="0.3">
      <c r="A65" s="444"/>
      <c r="B65" s="444"/>
      <c r="C65" s="446"/>
      <c r="D65" s="444"/>
      <c r="E65" s="445"/>
      <c r="F65" s="445"/>
      <c r="G65" s="444"/>
      <c r="H65" s="441" t="s">
        <v>2194</v>
      </c>
      <c r="I65" s="635">
        <f>+I66</f>
        <v>1845330000</v>
      </c>
      <c r="J65" s="635">
        <f>+J66</f>
        <v>1845241547</v>
      </c>
      <c r="K65" s="635">
        <f>+K66</f>
        <v>1845241547</v>
      </c>
      <c r="L65" s="635">
        <f>+L66</f>
        <v>1672704147</v>
      </c>
      <c r="M65" s="636"/>
      <c r="N65" s="636"/>
      <c r="O65" s="636"/>
      <c r="P65" s="636"/>
      <c r="Q65" s="637"/>
      <c r="R65" s="637"/>
      <c r="S65" s="637"/>
      <c r="T65" s="637"/>
      <c r="U65" s="637"/>
      <c r="V65" s="637"/>
      <c r="W65" s="637"/>
      <c r="X65" s="637"/>
      <c r="Y65" s="638">
        <f t="shared" si="15"/>
        <v>1845330000</v>
      </c>
      <c r="Z65" s="638">
        <f t="shared" si="15"/>
        <v>1845241547</v>
      </c>
      <c r="AA65" s="638">
        <f t="shared" si="15"/>
        <v>1845241547</v>
      </c>
      <c r="AB65" s="638">
        <f t="shared" si="15"/>
        <v>1672704147</v>
      </c>
      <c r="AC65" s="439"/>
    </row>
    <row r="66" spans="1:59" s="471" customFormat="1" ht="15.75" customHeight="1" thickTop="1" thickBot="1" x14ac:dyDescent="0.3">
      <c r="A66" s="475"/>
      <c r="B66" s="475"/>
      <c r="C66" s="475"/>
      <c r="D66" s="475"/>
      <c r="E66" s="475"/>
      <c r="F66" s="475"/>
      <c r="H66" s="471" t="s">
        <v>2195</v>
      </c>
      <c r="I66" s="641">
        <f>+I67</f>
        <v>1845330000</v>
      </c>
      <c r="J66" s="641">
        <f t="shared" ref="J66:X68" si="42">+J67</f>
        <v>1845241547</v>
      </c>
      <c r="K66" s="641">
        <f t="shared" si="42"/>
        <v>1845241547</v>
      </c>
      <c r="L66" s="641">
        <f t="shared" si="42"/>
        <v>1672704147</v>
      </c>
      <c r="M66" s="641">
        <f t="shared" si="42"/>
        <v>0</v>
      </c>
      <c r="N66" s="641">
        <f t="shared" si="42"/>
        <v>0</v>
      </c>
      <c r="O66" s="641">
        <f t="shared" si="42"/>
        <v>0</v>
      </c>
      <c r="P66" s="641">
        <f t="shared" si="42"/>
        <v>0</v>
      </c>
      <c r="Q66" s="476">
        <f t="shared" si="42"/>
        <v>0</v>
      </c>
      <c r="R66" s="476">
        <f t="shared" si="42"/>
        <v>0</v>
      </c>
      <c r="S66" s="476">
        <f t="shared" si="42"/>
        <v>0</v>
      </c>
      <c r="T66" s="476">
        <f t="shared" si="42"/>
        <v>0</v>
      </c>
      <c r="U66" s="476">
        <f t="shared" si="42"/>
        <v>0</v>
      </c>
      <c r="V66" s="476">
        <f t="shared" si="42"/>
        <v>0</v>
      </c>
      <c r="W66" s="476">
        <f t="shared" si="42"/>
        <v>0</v>
      </c>
      <c r="X66" s="476">
        <f t="shared" si="42"/>
        <v>0</v>
      </c>
      <c r="Y66" s="477">
        <f t="shared" si="15"/>
        <v>1845330000</v>
      </c>
      <c r="Z66" s="477">
        <f t="shared" si="15"/>
        <v>1845241547</v>
      </c>
      <c r="AA66" s="477">
        <f t="shared" si="15"/>
        <v>1845241547</v>
      </c>
      <c r="AB66" s="477">
        <f t="shared" si="15"/>
        <v>1672704147</v>
      </c>
      <c r="AC66" s="439"/>
      <c r="AD66"/>
      <c r="AE66"/>
      <c r="AF66"/>
      <c r="AG66"/>
      <c r="AH66"/>
      <c r="AI66"/>
      <c r="AJ66"/>
      <c r="AK66"/>
      <c r="AL66"/>
      <c r="AM66"/>
      <c r="AN66"/>
      <c r="AO66"/>
      <c r="AP66"/>
      <c r="AQ66"/>
      <c r="AR66"/>
      <c r="AS66"/>
      <c r="AT66"/>
      <c r="AU66"/>
      <c r="AV66"/>
      <c r="AW66"/>
      <c r="AX66"/>
      <c r="AY66"/>
      <c r="AZ66"/>
      <c r="BA66"/>
      <c r="BB66"/>
      <c r="BC66"/>
      <c r="BD66"/>
      <c r="BE66"/>
      <c r="BF66"/>
      <c r="BG66"/>
    </row>
    <row r="67" spans="1:59" ht="15.75" customHeight="1" thickTop="1" thickBot="1" x14ac:dyDescent="0.3">
      <c r="A67" s="475"/>
      <c r="B67" s="475"/>
      <c r="C67" s="475"/>
      <c r="D67" s="475"/>
      <c r="E67" s="461"/>
      <c r="F67" s="461"/>
      <c r="G67" s="461"/>
      <c r="H67" s="472" t="s">
        <v>2196</v>
      </c>
      <c r="I67" s="619">
        <f>298389079+1546940921</f>
        <v>1845330000</v>
      </c>
      <c r="J67" s="619">
        <f>298322626+1546918921</f>
        <v>1845241547</v>
      </c>
      <c r="K67" s="619">
        <f>298322626+1546918921</f>
        <v>1845241547</v>
      </c>
      <c r="L67" s="619">
        <f>298322626+1374381521</f>
        <v>1672704147</v>
      </c>
      <c r="M67" s="619">
        <f t="shared" si="42"/>
        <v>0</v>
      </c>
      <c r="N67" s="619">
        <f t="shared" si="42"/>
        <v>0</v>
      </c>
      <c r="O67" s="619">
        <f t="shared" si="42"/>
        <v>0</v>
      </c>
      <c r="P67" s="619">
        <f t="shared" si="42"/>
        <v>0</v>
      </c>
      <c r="Q67" s="455">
        <f t="shared" si="42"/>
        <v>0</v>
      </c>
      <c r="R67" s="455">
        <f t="shared" si="42"/>
        <v>0</v>
      </c>
      <c r="S67" s="455">
        <f t="shared" si="42"/>
        <v>0</v>
      </c>
      <c r="T67" s="455">
        <f t="shared" si="42"/>
        <v>0</v>
      </c>
      <c r="U67" s="455">
        <f t="shared" si="42"/>
        <v>0</v>
      </c>
      <c r="V67" s="455">
        <f t="shared" si="42"/>
        <v>0</v>
      </c>
      <c r="W67" s="455">
        <f t="shared" si="42"/>
        <v>0</v>
      </c>
      <c r="X67" s="455">
        <f t="shared" si="42"/>
        <v>0</v>
      </c>
      <c r="Y67" s="456">
        <f t="shared" si="15"/>
        <v>1845330000</v>
      </c>
      <c r="Z67" s="456">
        <f t="shared" si="15"/>
        <v>1845241547</v>
      </c>
      <c r="AA67" s="456">
        <f t="shared" si="15"/>
        <v>1845241547</v>
      </c>
      <c r="AB67" s="456">
        <f t="shared" si="15"/>
        <v>1672704147</v>
      </c>
      <c r="AC67" s="439"/>
    </row>
    <row r="68" spans="1:59" ht="15.75" customHeight="1" thickTop="1" thickBot="1" x14ac:dyDescent="0.3">
      <c r="A68" s="444"/>
      <c r="B68" s="444"/>
      <c r="C68" s="446"/>
      <c r="D68" s="446"/>
      <c r="E68" s="445"/>
      <c r="F68" s="445"/>
      <c r="G68" s="444"/>
      <c r="H68" s="624" t="s">
        <v>2197</v>
      </c>
      <c r="I68" s="642">
        <f>+I70+I72</f>
        <v>1901600000</v>
      </c>
      <c r="J68" s="642">
        <f>+J70+J72</f>
        <v>1413260993</v>
      </c>
      <c r="K68" s="643">
        <f>+K69+K72</f>
        <v>1413260993</v>
      </c>
      <c r="L68" s="643">
        <f>+L69+L72</f>
        <v>1260624308</v>
      </c>
      <c r="M68" s="643">
        <f t="shared" si="42"/>
        <v>0</v>
      </c>
      <c r="N68" s="643">
        <f t="shared" si="42"/>
        <v>0</v>
      </c>
      <c r="O68" s="643">
        <f t="shared" si="42"/>
        <v>0</v>
      </c>
      <c r="P68" s="643">
        <f t="shared" si="42"/>
        <v>0</v>
      </c>
      <c r="Q68" s="644">
        <f t="shared" si="42"/>
        <v>0</v>
      </c>
      <c r="R68" s="644">
        <f t="shared" si="42"/>
        <v>0</v>
      </c>
      <c r="S68" s="644">
        <f t="shared" si="42"/>
        <v>0</v>
      </c>
      <c r="T68" s="644">
        <f t="shared" si="42"/>
        <v>0</v>
      </c>
      <c r="U68" s="644">
        <f t="shared" si="42"/>
        <v>0</v>
      </c>
      <c r="V68" s="644">
        <f t="shared" si="42"/>
        <v>0</v>
      </c>
      <c r="W68" s="644">
        <f t="shared" si="42"/>
        <v>0</v>
      </c>
      <c r="X68" s="644">
        <f t="shared" si="42"/>
        <v>0</v>
      </c>
      <c r="Y68" s="645">
        <f t="shared" si="15"/>
        <v>1901600000</v>
      </c>
      <c r="Z68" s="645">
        <f t="shared" si="15"/>
        <v>1413260993</v>
      </c>
      <c r="AA68" s="645">
        <f t="shared" si="15"/>
        <v>1413260993</v>
      </c>
      <c r="AB68" s="645">
        <f t="shared" si="15"/>
        <v>1260624308</v>
      </c>
      <c r="AC68" s="439"/>
    </row>
    <row r="69" spans="1:59" ht="16.5" thickTop="1" thickBot="1" x14ac:dyDescent="0.3">
      <c r="A69" s="444"/>
      <c r="B69" s="444"/>
      <c r="C69" s="446"/>
      <c r="D69" s="446"/>
      <c r="E69" s="445"/>
      <c r="F69" s="445"/>
      <c r="G69" s="445"/>
      <c r="H69" s="634" t="s">
        <v>2198</v>
      </c>
      <c r="I69" s="646">
        <f t="shared" ref="I69:L70" si="43">+I70</f>
        <v>199600000</v>
      </c>
      <c r="J69" s="635">
        <f t="shared" si="43"/>
        <v>194804685</v>
      </c>
      <c r="K69" s="635">
        <f t="shared" si="43"/>
        <v>194804685</v>
      </c>
      <c r="L69" s="635">
        <f t="shared" si="43"/>
        <v>42168000</v>
      </c>
      <c r="M69" s="636"/>
      <c r="N69" s="636"/>
      <c r="O69" s="636"/>
      <c r="P69" s="636"/>
      <c r="Q69" s="637"/>
      <c r="R69" s="637"/>
      <c r="S69" s="637"/>
      <c r="T69" s="637"/>
      <c r="U69" s="637"/>
      <c r="V69" s="637"/>
      <c r="W69" s="637"/>
      <c r="X69" s="637"/>
      <c r="Y69" s="638">
        <f t="shared" si="15"/>
        <v>199600000</v>
      </c>
      <c r="Z69" s="638">
        <f t="shared" si="15"/>
        <v>194804685</v>
      </c>
      <c r="AA69" s="638">
        <f t="shared" si="15"/>
        <v>194804685</v>
      </c>
      <c r="AB69" s="638">
        <f t="shared" si="15"/>
        <v>42168000</v>
      </c>
      <c r="AC69" s="439"/>
    </row>
    <row r="70" spans="1:59" ht="16.5" thickTop="1" thickBot="1" x14ac:dyDescent="0.3">
      <c r="A70" s="469"/>
      <c r="B70" s="440"/>
      <c r="C70" s="440"/>
      <c r="D70" s="440"/>
      <c r="E70" s="469"/>
      <c r="F70" s="469"/>
      <c r="G70" s="469"/>
      <c r="H70" s="471" t="s">
        <v>2199</v>
      </c>
      <c r="I70" s="622">
        <f t="shared" si="43"/>
        <v>199600000</v>
      </c>
      <c r="J70" s="622">
        <f t="shared" si="43"/>
        <v>194804685</v>
      </c>
      <c r="K70" s="622">
        <f t="shared" si="43"/>
        <v>194804685</v>
      </c>
      <c r="L70" s="622">
        <f t="shared" si="43"/>
        <v>42168000</v>
      </c>
      <c r="M70" s="622"/>
      <c r="N70" s="622"/>
      <c r="O70" s="622"/>
      <c r="P70" s="622"/>
      <c r="Q70" s="470">
        <f t="shared" ref="Q70:X70" si="44">+Q72+Q76</f>
        <v>0</v>
      </c>
      <c r="R70" s="470">
        <f t="shared" si="44"/>
        <v>0</v>
      </c>
      <c r="S70" s="470">
        <f t="shared" si="44"/>
        <v>0</v>
      </c>
      <c r="T70" s="647">
        <f t="shared" si="44"/>
        <v>0</v>
      </c>
      <c r="U70" s="647">
        <f t="shared" si="44"/>
        <v>0</v>
      </c>
      <c r="V70" s="647">
        <f t="shared" si="44"/>
        <v>0</v>
      </c>
      <c r="W70" s="647">
        <f t="shared" si="44"/>
        <v>0</v>
      </c>
      <c r="X70" s="647">
        <f t="shared" si="44"/>
        <v>0</v>
      </c>
      <c r="Y70" s="648">
        <f t="shared" si="15"/>
        <v>199600000</v>
      </c>
      <c r="Z70" s="648">
        <f t="shared" si="15"/>
        <v>194804685</v>
      </c>
      <c r="AA70" s="648">
        <f t="shared" si="15"/>
        <v>194804685</v>
      </c>
      <c r="AB70" s="648">
        <f t="shared" si="15"/>
        <v>42168000</v>
      </c>
      <c r="AC70" s="439"/>
    </row>
    <row r="71" spans="1:59" ht="16.5" thickTop="1" thickBot="1" x14ac:dyDescent="0.3">
      <c r="A71" s="469"/>
      <c r="B71" s="440"/>
      <c r="C71" s="440"/>
      <c r="D71" s="513"/>
      <c r="E71" s="514"/>
      <c r="F71" s="514"/>
      <c r="G71" s="514"/>
      <c r="H71" s="472" t="s">
        <v>2200</v>
      </c>
      <c r="I71" s="619">
        <f>199400000+200000</f>
        <v>199600000</v>
      </c>
      <c r="J71" s="619">
        <v>194804685</v>
      </c>
      <c r="K71" s="619">
        <v>194804685</v>
      </c>
      <c r="L71" s="619">
        <v>42168000</v>
      </c>
      <c r="M71" s="619"/>
      <c r="N71" s="619"/>
      <c r="O71" s="619"/>
      <c r="P71" s="619"/>
      <c r="Q71" s="455"/>
      <c r="R71" s="455"/>
      <c r="S71" s="455"/>
      <c r="T71" s="455"/>
      <c r="U71" s="455"/>
      <c r="V71" s="455"/>
      <c r="W71" s="455"/>
      <c r="X71" s="455"/>
      <c r="Y71" s="456">
        <f t="shared" si="15"/>
        <v>199600000</v>
      </c>
      <c r="Z71" s="456">
        <f t="shared" ref="Z71" si="45">+J71+N71+R71+V71</f>
        <v>194804685</v>
      </c>
      <c r="AA71" s="456">
        <f t="shared" ref="AA71" si="46">+K71+O71+S71+W71</f>
        <v>194804685</v>
      </c>
      <c r="AB71" s="456">
        <f t="shared" ref="AB71" si="47">+L71+P71+T71+X71</f>
        <v>42168000</v>
      </c>
      <c r="AC71" s="439"/>
    </row>
    <row r="72" spans="1:59" ht="16.5" thickTop="1" thickBot="1" x14ac:dyDescent="0.3">
      <c r="A72" s="461"/>
      <c r="B72" s="461"/>
      <c r="C72" s="461"/>
      <c r="D72" s="461"/>
      <c r="E72" s="461"/>
      <c r="F72" s="461"/>
      <c r="G72" s="461"/>
      <c r="H72" s="629" t="s">
        <v>2201</v>
      </c>
      <c r="I72" s="618">
        <f>+I73</f>
        <v>1702000000</v>
      </c>
      <c r="J72" s="618">
        <f>+J73</f>
        <v>1218456308</v>
      </c>
      <c r="K72" s="621">
        <f t="shared" ref="J72:X74" si="48">+K73</f>
        <v>1218456308</v>
      </c>
      <c r="L72" s="621">
        <f t="shared" si="48"/>
        <v>1218456308</v>
      </c>
      <c r="M72" s="621">
        <f t="shared" si="48"/>
        <v>0</v>
      </c>
      <c r="N72" s="621">
        <f t="shared" si="48"/>
        <v>0</v>
      </c>
      <c r="O72" s="621">
        <f t="shared" si="48"/>
        <v>0</v>
      </c>
      <c r="P72" s="621">
        <f t="shared" si="48"/>
        <v>0</v>
      </c>
      <c r="Q72" s="463">
        <f t="shared" si="48"/>
        <v>0</v>
      </c>
      <c r="R72" s="463">
        <f t="shared" si="48"/>
        <v>0</v>
      </c>
      <c r="S72" s="463">
        <f t="shared" si="48"/>
        <v>0</v>
      </c>
      <c r="T72" s="463">
        <f t="shared" si="48"/>
        <v>0</v>
      </c>
      <c r="U72" s="463">
        <f t="shared" si="48"/>
        <v>0</v>
      </c>
      <c r="V72" s="463">
        <f t="shared" si="48"/>
        <v>0</v>
      </c>
      <c r="W72" s="463">
        <f t="shared" si="48"/>
        <v>0</v>
      </c>
      <c r="X72" s="463">
        <f t="shared" si="48"/>
        <v>0</v>
      </c>
      <c r="Y72" s="464">
        <f t="shared" ref="Y72:AB97" si="49">+I72+M72+Q72+U72</f>
        <v>1702000000</v>
      </c>
      <c r="Z72" s="464">
        <f t="shared" si="49"/>
        <v>1218456308</v>
      </c>
      <c r="AA72" s="464">
        <f t="shared" si="49"/>
        <v>1218456308</v>
      </c>
      <c r="AB72" s="464">
        <f t="shared" si="49"/>
        <v>1218456308</v>
      </c>
      <c r="AC72" s="439"/>
    </row>
    <row r="73" spans="1:59" ht="16.5" thickTop="1" thickBot="1" x14ac:dyDescent="0.3">
      <c r="A73" s="461"/>
      <c r="B73" s="461"/>
      <c r="C73" s="461"/>
      <c r="D73" s="461"/>
      <c r="E73" s="461"/>
      <c r="F73" s="461"/>
      <c r="G73" s="461"/>
      <c r="H73" s="471" t="s">
        <v>2202</v>
      </c>
      <c r="I73" s="621">
        <f>+I74</f>
        <v>1702000000</v>
      </c>
      <c r="J73" s="621">
        <f t="shared" si="48"/>
        <v>1218456308</v>
      </c>
      <c r="K73" s="621">
        <f>+K74</f>
        <v>1218456308</v>
      </c>
      <c r="L73" s="621">
        <f t="shared" si="48"/>
        <v>1218456308</v>
      </c>
      <c r="M73" s="621">
        <f t="shared" si="48"/>
        <v>0</v>
      </c>
      <c r="N73" s="621">
        <f t="shared" si="48"/>
        <v>0</v>
      </c>
      <c r="O73" s="621">
        <f t="shared" si="48"/>
        <v>0</v>
      </c>
      <c r="P73" s="621">
        <f t="shared" si="48"/>
        <v>0</v>
      </c>
      <c r="Q73" s="463">
        <f t="shared" si="48"/>
        <v>0</v>
      </c>
      <c r="R73" s="463">
        <f t="shared" si="48"/>
        <v>0</v>
      </c>
      <c r="S73" s="463">
        <f t="shared" si="48"/>
        <v>0</v>
      </c>
      <c r="T73" s="463">
        <f t="shared" si="48"/>
        <v>0</v>
      </c>
      <c r="U73" s="463">
        <f t="shared" si="48"/>
        <v>0</v>
      </c>
      <c r="V73" s="463">
        <f t="shared" si="48"/>
        <v>0</v>
      </c>
      <c r="W73" s="463">
        <f t="shared" si="48"/>
        <v>0</v>
      </c>
      <c r="X73" s="463">
        <f t="shared" si="48"/>
        <v>0</v>
      </c>
      <c r="Y73" s="464">
        <f t="shared" si="49"/>
        <v>1702000000</v>
      </c>
      <c r="Z73" s="464">
        <f t="shared" si="49"/>
        <v>1218456308</v>
      </c>
      <c r="AA73" s="464">
        <f t="shared" si="49"/>
        <v>1218456308</v>
      </c>
      <c r="AB73" s="464">
        <f t="shared" si="49"/>
        <v>1218456308</v>
      </c>
      <c r="AC73" s="439"/>
    </row>
    <row r="74" spans="1:59" ht="16.5" thickTop="1" thickBot="1" x14ac:dyDescent="0.3">
      <c r="A74" s="444"/>
      <c r="B74" s="444"/>
      <c r="C74" s="444"/>
      <c r="D74" s="444"/>
      <c r="E74" s="445"/>
      <c r="F74" s="445"/>
      <c r="G74" s="444"/>
      <c r="H74" s="472" t="s">
        <v>2203</v>
      </c>
      <c r="I74" s="616">
        <f>1210572000+491428000</f>
        <v>1702000000</v>
      </c>
      <c r="J74" s="616">
        <v>1218456308</v>
      </c>
      <c r="K74" s="616">
        <v>1218456308</v>
      </c>
      <c r="L74" s="616">
        <v>1218456308</v>
      </c>
      <c r="M74" s="616"/>
      <c r="N74" s="616"/>
      <c r="O74" s="616"/>
      <c r="P74" s="616"/>
      <c r="Q74" s="448">
        <f t="shared" si="48"/>
        <v>0</v>
      </c>
      <c r="R74" s="448">
        <f t="shared" si="48"/>
        <v>0</v>
      </c>
      <c r="S74" s="448">
        <f t="shared" si="48"/>
        <v>0</v>
      </c>
      <c r="T74" s="448">
        <f t="shared" si="48"/>
        <v>0</v>
      </c>
      <c r="U74" s="448">
        <f t="shared" si="48"/>
        <v>0</v>
      </c>
      <c r="V74" s="448">
        <f t="shared" si="48"/>
        <v>0</v>
      </c>
      <c r="W74" s="448">
        <f t="shared" si="48"/>
        <v>0</v>
      </c>
      <c r="X74" s="448">
        <f t="shared" si="48"/>
        <v>0</v>
      </c>
      <c r="Y74" s="449">
        <f t="shared" si="49"/>
        <v>1702000000</v>
      </c>
      <c r="Z74" s="449">
        <f t="shared" si="49"/>
        <v>1218456308</v>
      </c>
      <c r="AA74" s="449">
        <f t="shared" si="49"/>
        <v>1218456308</v>
      </c>
      <c r="AB74" s="449">
        <f t="shared" si="49"/>
        <v>1218456308</v>
      </c>
      <c r="AC74" s="439"/>
    </row>
    <row r="75" spans="1:59" ht="19.5" thickTop="1" thickBot="1" x14ac:dyDescent="0.3">
      <c r="A75" s="444"/>
      <c r="B75" s="444"/>
      <c r="C75" s="444"/>
      <c r="D75" s="444"/>
      <c r="E75" s="445"/>
      <c r="F75" s="445"/>
      <c r="G75" s="445"/>
      <c r="H75" s="624" t="s">
        <v>2204</v>
      </c>
      <c r="I75" s="642">
        <f t="shared" ref="I75:X78" si="50">+I76</f>
        <v>9022075000</v>
      </c>
      <c r="J75" s="642">
        <f t="shared" si="50"/>
        <v>8678366751</v>
      </c>
      <c r="K75" s="642">
        <f t="shared" si="50"/>
        <v>3564171959</v>
      </c>
      <c r="L75" s="642">
        <f t="shared" si="50"/>
        <v>3521125459</v>
      </c>
      <c r="M75" s="642">
        <f t="shared" si="50"/>
        <v>7000000000</v>
      </c>
      <c r="N75" s="643">
        <f t="shared" si="50"/>
        <v>7000000000</v>
      </c>
      <c r="O75" s="643">
        <f t="shared" si="50"/>
        <v>7000000000</v>
      </c>
      <c r="P75" s="643">
        <f t="shared" si="50"/>
        <v>7000000000</v>
      </c>
      <c r="Q75" s="644"/>
      <c r="R75" s="644"/>
      <c r="S75" s="644"/>
      <c r="T75" s="644"/>
      <c r="U75" s="644"/>
      <c r="V75" s="644"/>
      <c r="W75" s="644"/>
      <c r="X75" s="644"/>
      <c r="Y75" s="645">
        <f t="shared" si="49"/>
        <v>16022075000</v>
      </c>
      <c r="Z75" s="645">
        <f t="shared" si="49"/>
        <v>15678366751</v>
      </c>
      <c r="AA75" s="645">
        <f t="shared" si="49"/>
        <v>10564171959</v>
      </c>
      <c r="AB75" s="645">
        <f t="shared" si="49"/>
        <v>10521125459</v>
      </c>
      <c r="AC75" s="439"/>
    </row>
    <row r="76" spans="1:59" ht="16.5" thickTop="1" thickBot="1" x14ac:dyDescent="0.3">
      <c r="A76" s="461"/>
      <c r="B76" s="461"/>
      <c r="C76" s="461"/>
      <c r="D76" s="461"/>
      <c r="E76" s="461"/>
      <c r="F76" s="461"/>
      <c r="G76" s="461"/>
      <c r="H76" s="634" t="s">
        <v>2205</v>
      </c>
      <c r="I76" s="618">
        <f>+I77+I79</f>
        <v>9022075000</v>
      </c>
      <c r="J76" s="618">
        <f t="shared" ref="J76:L76" si="51">+J77+J79</f>
        <v>8678366751</v>
      </c>
      <c r="K76" s="618">
        <f t="shared" si="51"/>
        <v>3564171959</v>
      </c>
      <c r="L76" s="618">
        <f t="shared" si="51"/>
        <v>3521125459</v>
      </c>
      <c r="M76" s="621">
        <f t="shared" si="50"/>
        <v>7000000000</v>
      </c>
      <c r="N76" s="621">
        <f t="shared" si="50"/>
        <v>7000000000</v>
      </c>
      <c r="O76" s="621">
        <f t="shared" si="50"/>
        <v>7000000000</v>
      </c>
      <c r="P76" s="621">
        <f t="shared" si="50"/>
        <v>7000000000</v>
      </c>
      <c r="Q76" s="463">
        <f t="shared" si="50"/>
        <v>0</v>
      </c>
      <c r="R76" s="463">
        <f t="shared" si="50"/>
        <v>0</v>
      </c>
      <c r="S76" s="463">
        <f t="shared" si="50"/>
        <v>0</v>
      </c>
      <c r="T76" s="463">
        <f t="shared" si="50"/>
        <v>0</v>
      </c>
      <c r="U76" s="463">
        <f t="shared" si="50"/>
        <v>0</v>
      </c>
      <c r="V76" s="463">
        <f t="shared" si="50"/>
        <v>0</v>
      </c>
      <c r="W76" s="463">
        <f t="shared" si="50"/>
        <v>0</v>
      </c>
      <c r="X76" s="463">
        <f t="shared" si="50"/>
        <v>0</v>
      </c>
      <c r="Y76" s="464">
        <f t="shared" si="49"/>
        <v>16022075000</v>
      </c>
      <c r="Z76" s="464">
        <f t="shared" si="49"/>
        <v>15678366751</v>
      </c>
      <c r="AA76" s="464">
        <f t="shared" si="49"/>
        <v>10564171959</v>
      </c>
      <c r="AB76" s="464">
        <f t="shared" si="49"/>
        <v>10521125459</v>
      </c>
      <c r="AC76" s="439"/>
    </row>
    <row r="77" spans="1:59" ht="16.5" thickTop="1" thickBot="1" x14ac:dyDescent="0.3">
      <c r="A77" s="461"/>
      <c r="B77" s="461"/>
      <c r="C77" s="461"/>
      <c r="D77" s="461"/>
      <c r="E77" s="461"/>
      <c r="F77" s="461"/>
      <c r="G77" s="461"/>
      <c r="H77" s="471" t="s">
        <v>2206</v>
      </c>
      <c r="I77" s="621">
        <f>+I78</f>
        <v>8522075000</v>
      </c>
      <c r="J77" s="621">
        <f t="shared" si="50"/>
        <v>8178374751</v>
      </c>
      <c r="K77" s="621">
        <f t="shared" si="50"/>
        <v>3064179959</v>
      </c>
      <c r="L77" s="621">
        <f t="shared" si="50"/>
        <v>3021133459</v>
      </c>
      <c r="M77" s="621">
        <f t="shared" si="50"/>
        <v>7000000000</v>
      </c>
      <c r="N77" s="621">
        <f t="shared" si="50"/>
        <v>7000000000</v>
      </c>
      <c r="O77" s="621">
        <f t="shared" si="50"/>
        <v>7000000000</v>
      </c>
      <c r="P77" s="621">
        <f t="shared" si="50"/>
        <v>7000000000</v>
      </c>
      <c r="Q77" s="463">
        <f t="shared" si="50"/>
        <v>0</v>
      </c>
      <c r="R77" s="463">
        <f t="shared" si="50"/>
        <v>0</v>
      </c>
      <c r="S77" s="463">
        <f t="shared" si="50"/>
        <v>0</v>
      </c>
      <c r="T77" s="463">
        <f t="shared" si="50"/>
        <v>0</v>
      </c>
      <c r="U77" s="463">
        <f t="shared" si="50"/>
        <v>0</v>
      </c>
      <c r="V77" s="463">
        <f t="shared" si="50"/>
        <v>0</v>
      </c>
      <c r="W77" s="463">
        <f t="shared" si="50"/>
        <v>0</v>
      </c>
      <c r="X77" s="463">
        <f t="shared" si="50"/>
        <v>0</v>
      </c>
      <c r="Y77" s="464">
        <f t="shared" si="49"/>
        <v>15522075000</v>
      </c>
      <c r="Z77" s="464">
        <f t="shared" si="49"/>
        <v>15178374751</v>
      </c>
      <c r="AA77" s="464">
        <f t="shared" si="49"/>
        <v>10064179959</v>
      </c>
      <c r="AB77" s="464">
        <f t="shared" si="49"/>
        <v>10021133459</v>
      </c>
      <c r="AC77" s="439"/>
    </row>
    <row r="78" spans="1:59" ht="16.5" thickTop="1" thickBot="1" x14ac:dyDescent="0.3">
      <c r="A78" s="444"/>
      <c r="B78" s="444"/>
      <c r="C78" s="444"/>
      <c r="D78" s="444"/>
      <c r="E78" s="445"/>
      <c r="F78" s="445"/>
      <c r="G78" s="444"/>
      <c r="H78" s="472" t="s">
        <v>2207</v>
      </c>
      <c r="I78" s="616">
        <f>6461858874+2060216126</f>
        <v>8522075000</v>
      </c>
      <c r="J78" s="616">
        <f>6129801053+2048573698</f>
        <v>8178374751</v>
      </c>
      <c r="K78" s="616">
        <f>2776543999+287635960</f>
        <v>3064179959</v>
      </c>
      <c r="L78" s="616">
        <f>2733497499+287635960</f>
        <v>3021133459</v>
      </c>
      <c r="M78" s="616">
        <v>7000000000</v>
      </c>
      <c r="N78" s="616">
        <v>7000000000</v>
      </c>
      <c r="O78" s="616">
        <v>7000000000</v>
      </c>
      <c r="P78" s="616">
        <v>7000000000</v>
      </c>
      <c r="Q78" s="448">
        <f t="shared" si="50"/>
        <v>0</v>
      </c>
      <c r="R78" s="448">
        <f t="shared" si="50"/>
        <v>0</v>
      </c>
      <c r="S78" s="448">
        <f t="shared" si="50"/>
        <v>0</v>
      </c>
      <c r="T78" s="448">
        <f t="shared" si="50"/>
        <v>0</v>
      </c>
      <c r="U78" s="448">
        <f t="shared" si="50"/>
        <v>0</v>
      </c>
      <c r="V78" s="448">
        <f t="shared" si="50"/>
        <v>0</v>
      </c>
      <c r="W78" s="448">
        <f t="shared" si="50"/>
        <v>0</v>
      </c>
      <c r="X78" s="448">
        <f t="shared" si="50"/>
        <v>0</v>
      </c>
      <c r="Y78" s="449">
        <f t="shared" si="49"/>
        <v>15522075000</v>
      </c>
      <c r="Z78" s="449">
        <f t="shared" si="49"/>
        <v>15178374751</v>
      </c>
      <c r="AA78" s="449">
        <f t="shared" si="49"/>
        <v>10064179959</v>
      </c>
      <c r="AB78" s="449">
        <f t="shared" si="49"/>
        <v>10021133459</v>
      </c>
      <c r="AC78" s="439"/>
    </row>
    <row r="79" spans="1:59" ht="16.5" thickTop="1" thickBot="1" x14ac:dyDescent="0.3">
      <c r="A79" s="444"/>
      <c r="B79" s="444"/>
      <c r="C79" s="444"/>
      <c r="D79" s="444"/>
      <c r="E79" s="445"/>
      <c r="F79" s="445"/>
      <c r="G79" s="444"/>
      <c r="H79" s="471" t="s">
        <v>2208</v>
      </c>
      <c r="I79" s="635">
        <f>+I80</f>
        <v>500000000</v>
      </c>
      <c r="J79" s="635">
        <f t="shared" ref="J79:L79" si="52">+J80</f>
        <v>499992000</v>
      </c>
      <c r="K79" s="635">
        <f t="shared" si="52"/>
        <v>499992000</v>
      </c>
      <c r="L79" s="635">
        <f t="shared" si="52"/>
        <v>499992000</v>
      </c>
      <c r="M79" s="636"/>
      <c r="N79" s="636"/>
      <c r="O79" s="636"/>
      <c r="P79" s="636"/>
      <c r="Q79" s="637"/>
      <c r="R79" s="637"/>
      <c r="S79" s="637"/>
      <c r="T79" s="637"/>
      <c r="U79" s="637"/>
      <c r="V79" s="637"/>
      <c r="W79" s="637"/>
      <c r="X79" s="637"/>
      <c r="Y79" s="638">
        <f t="shared" si="49"/>
        <v>500000000</v>
      </c>
      <c r="Z79" s="638">
        <f t="shared" si="49"/>
        <v>499992000</v>
      </c>
      <c r="AA79" s="638">
        <f t="shared" si="49"/>
        <v>499992000</v>
      </c>
      <c r="AB79" s="638">
        <f t="shared" si="49"/>
        <v>499992000</v>
      </c>
      <c r="AC79" s="439"/>
    </row>
    <row r="80" spans="1:59" ht="16.5" thickTop="1" thickBot="1" x14ac:dyDescent="0.3">
      <c r="A80" s="469"/>
      <c r="B80" s="469"/>
      <c r="C80" s="469"/>
      <c r="D80" s="469"/>
      <c r="E80" s="469"/>
      <c r="F80" s="469"/>
      <c r="G80" s="469"/>
      <c r="H80" s="472" t="s">
        <v>2209</v>
      </c>
      <c r="I80" s="616">
        <v>500000000</v>
      </c>
      <c r="J80" s="1174">
        <f>399993600+99998400</f>
        <v>499992000</v>
      </c>
      <c r="K80" s="1174">
        <f t="shared" ref="K80:L80" si="53">399993600+99998400</f>
        <v>499992000</v>
      </c>
      <c r="L80" s="1174">
        <f t="shared" si="53"/>
        <v>499992000</v>
      </c>
      <c r="M80" s="649">
        <v>0</v>
      </c>
      <c r="N80" s="649">
        <v>0</v>
      </c>
      <c r="O80" s="649">
        <v>0</v>
      </c>
      <c r="P80" s="649">
        <v>0</v>
      </c>
      <c r="Q80" s="651">
        <v>0</v>
      </c>
      <c r="R80" s="651">
        <v>0</v>
      </c>
      <c r="S80" s="651">
        <v>0</v>
      </c>
      <c r="T80" s="651">
        <v>0</v>
      </c>
      <c r="U80" s="651">
        <v>0</v>
      </c>
      <c r="V80" s="651">
        <v>0</v>
      </c>
      <c r="W80" s="651">
        <v>0</v>
      </c>
      <c r="X80" s="651">
        <v>0</v>
      </c>
      <c r="Y80" s="652">
        <f t="shared" si="49"/>
        <v>500000000</v>
      </c>
      <c r="Z80" s="652">
        <f t="shared" si="49"/>
        <v>499992000</v>
      </c>
      <c r="AA80" s="652">
        <f t="shared" si="49"/>
        <v>499992000</v>
      </c>
      <c r="AB80" s="652">
        <f t="shared" si="49"/>
        <v>499992000</v>
      </c>
      <c r="AC80" s="439"/>
    </row>
    <row r="81" spans="1:29" ht="19.5" thickTop="1" thickBot="1" x14ac:dyDescent="0.3">
      <c r="A81" s="469"/>
      <c r="B81" s="469"/>
      <c r="C81" s="469"/>
      <c r="D81" s="469"/>
      <c r="E81" s="469"/>
      <c r="F81" s="469"/>
      <c r="G81" s="469"/>
      <c r="H81" s="624" t="s">
        <v>2210</v>
      </c>
      <c r="I81" s="642">
        <f>+I82+I89</f>
        <v>13062327859</v>
      </c>
      <c r="J81" s="642">
        <f>+J82+J89</f>
        <v>13007212623</v>
      </c>
      <c r="K81" s="654">
        <f>+K82+K89</f>
        <v>10915180884</v>
      </c>
      <c r="L81" s="654">
        <f>+L82+L89</f>
        <v>9207854757</v>
      </c>
      <c r="M81" s="655"/>
      <c r="N81" s="655"/>
      <c r="O81" s="655"/>
      <c r="P81" s="655"/>
      <c r="Q81" s="656"/>
      <c r="R81" s="656"/>
      <c r="S81" s="656"/>
      <c r="T81" s="656"/>
      <c r="U81" s="656"/>
      <c r="V81" s="656"/>
      <c r="W81" s="656"/>
      <c r="X81" s="656"/>
      <c r="Y81" s="657">
        <f t="shared" si="49"/>
        <v>13062327859</v>
      </c>
      <c r="Z81" s="657">
        <f t="shared" si="49"/>
        <v>13007212623</v>
      </c>
      <c r="AA81" s="657">
        <f t="shared" si="49"/>
        <v>10915180884</v>
      </c>
      <c r="AB81" s="657">
        <f t="shared" si="49"/>
        <v>9207854757</v>
      </c>
      <c r="AC81" s="439"/>
    </row>
    <row r="82" spans="1:29" ht="16.5" thickTop="1" thickBot="1" x14ac:dyDescent="0.3">
      <c r="A82" s="469"/>
      <c r="B82" s="469"/>
      <c r="C82" s="469"/>
      <c r="D82" s="469"/>
      <c r="E82" s="469"/>
      <c r="F82" s="469"/>
      <c r="G82" s="469"/>
      <c r="H82" s="634" t="s">
        <v>2211</v>
      </c>
      <c r="I82" s="618">
        <f>+I83+I85+I87</f>
        <v>3180329000</v>
      </c>
      <c r="J82" s="639">
        <f>+J83+J85+J87</f>
        <v>3179150940</v>
      </c>
      <c r="K82" s="639">
        <f>+K83+K85+K87</f>
        <v>3157719556</v>
      </c>
      <c r="L82" s="639">
        <f>+L83+L85+L87</f>
        <v>2005747024</v>
      </c>
      <c r="M82" s="640"/>
      <c r="N82" s="640"/>
      <c r="O82" s="640"/>
      <c r="P82" s="640"/>
      <c r="Q82" s="473"/>
      <c r="R82" s="473"/>
      <c r="S82" s="473"/>
      <c r="T82" s="473"/>
      <c r="U82" s="473"/>
      <c r="V82" s="473"/>
      <c r="W82" s="473"/>
      <c r="X82" s="473"/>
      <c r="Y82" s="474">
        <f t="shared" si="49"/>
        <v>3180329000</v>
      </c>
      <c r="Z82" s="474">
        <f t="shared" si="49"/>
        <v>3179150940</v>
      </c>
      <c r="AA82" s="474">
        <f t="shared" si="49"/>
        <v>3157719556</v>
      </c>
      <c r="AB82" s="474">
        <f t="shared" si="49"/>
        <v>2005747024</v>
      </c>
      <c r="AC82" s="439"/>
    </row>
    <row r="83" spans="1:29" ht="16.5" thickTop="1" thickBot="1" x14ac:dyDescent="0.3">
      <c r="A83" s="469"/>
      <c r="B83" s="469"/>
      <c r="C83" s="469"/>
      <c r="D83" s="469"/>
      <c r="E83" s="469"/>
      <c r="F83" s="469"/>
      <c r="G83" s="469"/>
      <c r="H83" s="471" t="s">
        <v>2212</v>
      </c>
      <c r="I83" s="621">
        <f>+I84</f>
        <v>1349369000</v>
      </c>
      <c r="J83" s="658">
        <f>+J84</f>
        <v>1348854924</v>
      </c>
      <c r="K83" s="658">
        <f>+K84</f>
        <v>1327423540</v>
      </c>
      <c r="L83" s="658">
        <f>+L84</f>
        <v>774196448</v>
      </c>
      <c r="M83" s="640"/>
      <c r="N83" s="640"/>
      <c r="O83" s="640"/>
      <c r="P83" s="640"/>
      <c r="Q83" s="473"/>
      <c r="R83" s="473"/>
      <c r="S83" s="473"/>
      <c r="T83" s="473"/>
      <c r="U83" s="473"/>
      <c r="V83" s="473"/>
      <c r="W83" s="473"/>
      <c r="X83" s="473"/>
      <c r="Y83" s="474">
        <f t="shared" si="49"/>
        <v>1349369000</v>
      </c>
      <c r="Z83" s="474">
        <f t="shared" si="49"/>
        <v>1348854924</v>
      </c>
      <c r="AA83" s="474">
        <f t="shared" si="49"/>
        <v>1327423540</v>
      </c>
      <c r="AB83" s="474">
        <f t="shared" si="49"/>
        <v>774196448</v>
      </c>
      <c r="AC83" s="439"/>
    </row>
    <row r="84" spans="1:29" ht="16.5" thickTop="1" thickBot="1" x14ac:dyDescent="0.3">
      <c r="A84" s="469"/>
      <c r="B84" s="469"/>
      <c r="C84" s="469"/>
      <c r="D84" s="469"/>
      <c r="E84" s="469"/>
      <c r="F84" s="469"/>
      <c r="G84" s="469"/>
      <c r="H84" s="472" t="s">
        <v>2213</v>
      </c>
      <c r="I84" s="616">
        <f>1297471464+51897536</f>
        <v>1349369000</v>
      </c>
      <c r="J84" s="650">
        <f>1297280448+51574476</f>
        <v>1348854924</v>
      </c>
      <c r="K84" s="650">
        <f>1276196448+51227092</f>
        <v>1327423540</v>
      </c>
      <c r="L84" s="650">
        <v>774196448</v>
      </c>
      <c r="M84" s="649"/>
      <c r="N84" s="649"/>
      <c r="O84" s="649"/>
      <c r="P84" s="649"/>
      <c r="Q84" s="651"/>
      <c r="R84" s="651"/>
      <c r="S84" s="651"/>
      <c r="T84" s="651"/>
      <c r="U84" s="651"/>
      <c r="V84" s="651"/>
      <c r="W84" s="651"/>
      <c r="X84" s="651"/>
      <c r="Y84" s="653">
        <f t="shared" si="49"/>
        <v>1349369000</v>
      </c>
      <c r="Z84" s="653">
        <f t="shared" si="49"/>
        <v>1348854924</v>
      </c>
      <c r="AA84" s="653">
        <f t="shared" si="49"/>
        <v>1327423540</v>
      </c>
      <c r="AB84" s="653">
        <f t="shared" si="49"/>
        <v>774196448</v>
      </c>
      <c r="AC84" s="439"/>
    </row>
    <row r="85" spans="1:29" ht="16.5" thickTop="1" thickBot="1" x14ac:dyDescent="0.3">
      <c r="A85" s="469"/>
      <c r="B85" s="469"/>
      <c r="C85" s="469"/>
      <c r="D85" s="469"/>
      <c r="E85" s="469"/>
      <c r="F85" s="469"/>
      <c r="G85" s="469"/>
      <c r="H85" s="471" t="s">
        <v>2214</v>
      </c>
      <c r="I85" s="636">
        <f>+I86</f>
        <v>459000000</v>
      </c>
      <c r="J85" s="658">
        <f>+J86</f>
        <v>458828000</v>
      </c>
      <c r="K85" s="658">
        <f>+K86</f>
        <v>458828000</v>
      </c>
      <c r="L85" s="658">
        <f>+L86</f>
        <v>200800000</v>
      </c>
      <c r="M85" s="640"/>
      <c r="N85" s="640"/>
      <c r="O85" s="640"/>
      <c r="P85" s="640"/>
      <c r="Q85" s="473"/>
      <c r="R85" s="473"/>
      <c r="S85" s="473"/>
      <c r="T85" s="473"/>
      <c r="U85" s="473"/>
      <c r="V85" s="473"/>
      <c r="W85" s="473"/>
      <c r="X85" s="473"/>
      <c r="Y85" s="474">
        <f t="shared" si="49"/>
        <v>459000000</v>
      </c>
      <c r="Z85" s="474">
        <f t="shared" si="49"/>
        <v>458828000</v>
      </c>
      <c r="AA85" s="474">
        <f t="shared" si="49"/>
        <v>458828000</v>
      </c>
      <c r="AB85" s="474">
        <f t="shared" si="49"/>
        <v>200800000</v>
      </c>
      <c r="AC85" s="439"/>
    </row>
    <row r="86" spans="1:29" ht="16.5" thickTop="1" thickBot="1" x14ac:dyDescent="0.3">
      <c r="A86" s="469"/>
      <c r="B86" s="469"/>
      <c r="C86" s="469"/>
      <c r="D86" s="469"/>
      <c r="E86" s="469"/>
      <c r="F86" s="469"/>
      <c r="G86" s="469"/>
      <c r="H86" s="472" t="s">
        <v>2215</v>
      </c>
      <c r="I86" s="619">
        <f>458828000+172000</f>
        <v>459000000</v>
      </c>
      <c r="J86" s="650">
        <v>458828000</v>
      </c>
      <c r="K86" s="650">
        <v>458828000</v>
      </c>
      <c r="L86" s="650">
        <v>200800000</v>
      </c>
      <c r="M86" s="649"/>
      <c r="N86" s="649"/>
      <c r="O86" s="649"/>
      <c r="P86" s="649"/>
      <c r="Q86" s="651"/>
      <c r="R86" s="651"/>
      <c r="S86" s="651"/>
      <c r="T86" s="651"/>
      <c r="U86" s="651"/>
      <c r="V86" s="651"/>
      <c r="W86" s="651"/>
      <c r="X86" s="651"/>
      <c r="Y86" s="653">
        <f t="shared" si="49"/>
        <v>459000000</v>
      </c>
      <c r="Z86" s="653">
        <f t="shared" si="49"/>
        <v>458828000</v>
      </c>
      <c r="AA86" s="653">
        <f t="shared" si="49"/>
        <v>458828000</v>
      </c>
      <c r="AB86" s="653">
        <f t="shared" si="49"/>
        <v>200800000</v>
      </c>
      <c r="AC86" s="439"/>
    </row>
    <row r="87" spans="1:29" ht="16.5" thickTop="1" thickBot="1" x14ac:dyDescent="0.3">
      <c r="A87" s="461"/>
      <c r="B87" s="461"/>
      <c r="C87" s="461"/>
      <c r="D87" s="461"/>
      <c r="E87" s="461"/>
      <c r="F87" s="461"/>
      <c r="G87" s="461"/>
      <c r="H87" s="471" t="s">
        <v>2216</v>
      </c>
      <c r="I87" s="621">
        <f t="shared" ref="I87:P87" si="54">+I88</f>
        <v>1371960000</v>
      </c>
      <c r="J87" s="621">
        <f t="shared" si="54"/>
        <v>1371468016</v>
      </c>
      <c r="K87" s="621">
        <f t="shared" si="54"/>
        <v>1371468016</v>
      </c>
      <c r="L87" s="621">
        <f t="shared" si="54"/>
        <v>1030750576</v>
      </c>
      <c r="M87" s="621">
        <f t="shared" si="54"/>
        <v>0</v>
      </c>
      <c r="N87" s="621">
        <f t="shared" si="54"/>
        <v>0</v>
      </c>
      <c r="O87" s="621">
        <f t="shared" si="54"/>
        <v>0</v>
      </c>
      <c r="P87" s="621">
        <f t="shared" si="54"/>
        <v>0</v>
      </c>
      <c r="Q87" s="463">
        <v>0</v>
      </c>
      <c r="R87" s="463">
        <f>+R88</f>
        <v>0</v>
      </c>
      <c r="S87" s="463">
        <v>0</v>
      </c>
      <c r="T87" s="463">
        <f>+T88</f>
        <v>0</v>
      </c>
      <c r="U87" s="463">
        <f>+U88</f>
        <v>0</v>
      </c>
      <c r="V87" s="463">
        <f>+V88</f>
        <v>0</v>
      </c>
      <c r="W87" s="463">
        <f>+W88</f>
        <v>0</v>
      </c>
      <c r="X87" s="463">
        <f>+X88</f>
        <v>0</v>
      </c>
      <c r="Y87" s="464">
        <f t="shared" si="49"/>
        <v>1371960000</v>
      </c>
      <c r="Z87" s="464">
        <f t="shared" si="49"/>
        <v>1371468016</v>
      </c>
      <c r="AA87" s="464">
        <f t="shared" si="49"/>
        <v>1371468016</v>
      </c>
      <c r="AB87" s="464">
        <f t="shared" si="49"/>
        <v>1030750576</v>
      </c>
      <c r="AC87" s="439"/>
    </row>
    <row r="88" spans="1:29" ht="16.5" thickTop="1" thickBot="1" x14ac:dyDescent="0.3">
      <c r="A88" s="461"/>
      <c r="B88" s="461"/>
      <c r="C88" s="461"/>
      <c r="D88" s="461"/>
      <c r="E88" s="461"/>
      <c r="F88" s="461"/>
      <c r="G88" s="461"/>
      <c r="H88" s="472" t="s">
        <v>2217</v>
      </c>
      <c r="I88" s="619">
        <f>1271560000+100400000</f>
        <v>1371960000</v>
      </c>
      <c r="J88" s="619">
        <f>1271068016+100400000</f>
        <v>1371468016</v>
      </c>
      <c r="K88" s="619">
        <f>1271068016+100400000</f>
        <v>1371468016</v>
      </c>
      <c r="L88" s="619">
        <f>930350576+100400000</f>
        <v>1030750576</v>
      </c>
      <c r="M88" s="619">
        <v>0</v>
      </c>
      <c r="N88" s="619">
        <v>0</v>
      </c>
      <c r="O88" s="619">
        <v>0</v>
      </c>
      <c r="P88" s="619">
        <v>0</v>
      </c>
      <c r="Q88" s="455">
        <v>0</v>
      </c>
      <c r="R88" s="455">
        <v>0</v>
      </c>
      <c r="S88" s="455">
        <v>0</v>
      </c>
      <c r="T88" s="455">
        <v>0</v>
      </c>
      <c r="U88" s="455">
        <v>0</v>
      </c>
      <c r="V88" s="455">
        <v>0</v>
      </c>
      <c r="W88" s="455">
        <v>0</v>
      </c>
      <c r="X88" s="455">
        <v>0</v>
      </c>
      <c r="Y88" s="456">
        <f t="shared" si="49"/>
        <v>1371960000</v>
      </c>
      <c r="Z88" s="456">
        <f t="shared" si="49"/>
        <v>1371468016</v>
      </c>
      <c r="AA88" s="456">
        <f t="shared" si="49"/>
        <v>1371468016</v>
      </c>
      <c r="AB88" s="456">
        <f t="shared" si="49"/>
        <v>1030750576</v>
      </c>
      <c r="AC88" s="439"/>
    </row>
    <row r="89" spans="1:29" ht="16.5" thickTop="1" thickBot="1" x14ac:dyDescent="0.3">
      <c r="A89" s="444"/>
      <c r="B89" s="444"/>
      <c r="C89" s="446"/>
      <c r="D89" s="444"/>
      <c r="E89" s="445"/>
      <c r="F89" s="444"/>
      <c r="G89" s="444"/>
      <c r="H89" s="634" t="s">
        <v>2218</v>
      </c>
      <c r="I89" s="635">
        <f>+I90+I92+I94+I96</f>
        <v>9881998859</v>
      </c>
      <c r="J89" s="635">
        <f>+J90+J92+J94+J96</f>
        <v>9828061683</v>
      </c>
      <c r="K89" s="635">
        <f>+K90+K92+K94+K96</f>
        <v>7757461328</v>
      </c>
      <c r="L89" s="635">
        <f>+L90+L92+L94+L96</f>
        <v>7202107733</v>
      </c>
      <c r="M89" s="636">
        <v>0</v>
      </c>
      <c r="N89" s="636">
        <v>0</v>
      </c>
      <c r="O89" s="636">
        <v>0</v>
      </c>
      <c r="P89" s="636">
        <v>0</v>
      </c>
      <c r="Q89" s="637">
        <v>0</v>
      </c>
      <c r="R89" s="637">
        <v>0</v>
      </c>
      <c r="S89" s="637">
        <v>0</v>
      </c>
      <c r="T89" s="637">
        <v>0</v>
      </c>
      <c r="U89" s="637">
        <v>0</v>
      </c>
      <c r="V89" s="637">
        <v>0</v>
      </c>
      <c r="W89" s="637">
        <v>0</v>
      </c>
      <c r="X89" s="637">
        <v>0</v>
      </c>
      <c r="Y89" s="638">
        <f t="shared" si="49"/>
        <v>9881998859</v>
      </c>
      <c r="Z89" s="638">
        <f t="shared" si="49"/>
        <v>9828061683</v>
      </c>
      <c r="AA89" s="638">
        <f t="shared" si="49"/>
        <v>7757461328</v>
      </c>
      <c r="AB89" s="638">
        <f t="shared" si="49"/>
        <v>7202107733</v>
      </c>
      <c r="AC89" s="439"/>
    </row>
    <row r="90" spans="1:29" ht="16.5" thickTop="1" thickBot="1" x14ac:dyDescent="0.3">
      <c r="A90" s="444"/>
      <c r="B90" s="444"/>
      <c r="C90" s="446"/>
      <c r="D90" s="444"/>
      <c r="E90" s="445"/>
      <c r="F90" s="444"/>
      <c r="G90" s="444"/>
      <c r="H90" s="471" t="s">
        <v>2219</v>
      </c>
      <c r="I90" s="635">
        <f>+I91</f>
        <v>315000000</v>
      </c>
      <c r="J90" s="636">
        <f>+J91</f>
        <v>314695768</v>
      </c>
      <c r="K90" s="636">
        <f>+K91</f>
        <v>314695768</v>
      </c>
      <c r="L90" s="636">
        <v>200800000</v>
      </c>
      <c r="M90" s="636"/>
      <c r="N90" s="636"/>
      <c r="O90" s="636"/>
      <c r="P90" s="636"/>
      <c r="Q90" s="637"/>
      <c r="R90" s="637"/>
      <c r="S90" s="637"/>
      <c r="T90" s="637"/>
      <c r="U90" s="637"/>
      <c r="V90" s="637"/>
      <c r="W90" s="637"/>
      <c r="X90" s="637"/>
      <c r="Y90" s="638">
        <f t="shared" si="49"/>
        <v>315000000</v>
      </c>
      <c r="Z90" s="638">
        <f t="shared" si="49"/>
        <v>314695768</v>
      </c>
      <c r="AA90" s="638">
        <f t="shared" si="49"/>
        <v>314695768</v>
      </c>
      <c r="AB90" s="638">
        <f t="shared" si="49"/>
        <v>200800000</v>
      </c>
      <c r="AC90" s="439"/>
    </row>
    <row r="91" spans="1:29" ht="16.5" thickTop="1" thickBot="1" x14ac:dyDescent="0.3">
      <c r="A91" s="444"/>
      <c r="B91" s="444"/>
      <c r="C91" s="446"/>
      <c r="D91" s="444"/>
      <c r="E91" s="445"/>
      <c r="F91" s="444"/>
      <c r="G91" s="444"/>
      <c r="H91" s="472" t="s">
        <v>2220</v>
      </c>
      <c r="I91" s="619">
        <v>315000000</v>
      </c>
      <c r="J91" s="619">
        <v>314695768</v>
      </c>
      <c r="K91" s="619">
        <v>314695768</v>
      </c>
      <c r="L91" s="619">
        <v>200800000</v>
      </c>
      <c r="M91" s="619"/>
      <c r="N91" s="619"/>
      <c r="O91" s="619"/>
      <c r="P91" s="619">
        <v>0</v>
      </c>
      <c r="Q91" s="455"/>
      <c r="R91" s="455"/>
      <c r="S91" s="455"/>
      <c r="T91" s="455"/>
      <c r="U91" s="455"/>
      <c r="V91" s="455"/>
      <c r="W91" s="455"/>
      <c r="X91" s="455"/>
      <c r="Y91" s="456">
        <f t="shared" si="49"/>
        <v>315000000</v>
      </c>
      <c r="Z91" s="456">
        <f t="shared" si="49"/>
        <v>314695768</v>
      </c>
      <c r="AA91" s="456">
        <f t="shared" si="49"/>
        <v>314695768</v>
      </c>
      <c r="AB91" s="456">
        <f t="shared" si="49"/>
        <v>200800000</v>
      </c>
      <c r="AC91" s="439"/>
    </row>
    <row r="92" spans="1:29" ht="16.5" thickTop="1" thickBot="1" x14ac:dyDescent="0.3">
      <c r="A92" s="444"/>
      <c r="B92" s="444"/>
      <c r="C92" s="446"/>
      <c r="D92" s="444"/>
      <c r="E92" s="445"/>
      <c r="F92" s="444"/>
      <c r="G92" s="444"/>
      <c r="H92" s="471" t="s">
        <v>2221</v>
      </c>
      <c r="I92" s="635">
        <f>+I93</f>
        <v>652466000</v>
      </c>
      <c r="J92" s="636">
        <f>+J93</f>
        <v>612296174</v>
      </c>
      <c r="K92" s="636">
        <f>+K93</f>
        <v>587698174</v>
      </c>
      <c r="L92" s="636">
        <f>+L93</f>
        <v>495165366</v>
      </c>
      <c r="M92" s="636"/>
      <c r="N92" s="636"/>
      <c r="O92" s="636"/>
      <c r="P92" s="636"/>
      <c r="Q92" s="637"/>
      <c r="R92" s="637"/>
      <c r="S92" s="637"/>
      <c r="T92" s="637"/>
      <c r="U92" s="637"/>
      <c r="V92" s="637"/>
      <c r="W92" s="637"/>
      <c r="X92" s="637"/>
      <c r="Y92" s="638">
        <f t="shared" si="49"/>
        <v>652466000</v>
      </c>
      <c r="Z92" s="638">
        <f t="shared" si="49"/>
        <v>612296174</v>
      </c>
      <c r="AA92" s="638">
        <f t="shared" si="49"/>
        <v>587698174</v>
      </c>
      <c r="AB92" s="638">
        <f t="shared" si="49"/>
        <v>495165366</v>
      </c>
      <c r="AC92" s="439"/>
    </row>
    <row r="93" spans="1:29" ht="16.5" thickTop="1" thickBot="1" x14ac:dyDescent="0.3">
      <c r="A93" s="444"/>
      <c r="B93" s="444"/>
      <c r="C93" s="446"/>
      <c r="D93" s="444"/>
      <c r="E93" s="445"/>
      <c r="F93" s="444"/>
      <c r="G93" s="444"/>
      <c r="H93" s="472" t="s">
        <v>2222</v>
      </c>
      <c r="I93" s="619">
        <f>546650478+105815522</f>
        <v>652466000</v>
      </c>
      <c r="J93" s="619">
        <f>511896174+100400000</f>
        <v>612296174</v>
      </c>
      <c r="K93" s="619">
        <f>487298174+100400000</f>
        <v>587698174</v>
      </c>
      <c r="L93" s="619">
        <f>394765366+100400000</f>
        <v>495165366</v>
      </c>
      <c r="M93" s="619"/>
      <c r="N93" s="619"/>
      <c r="O93" s="619"/>
      <c r="P93" s="619"/>
      <c r="Q93" s="455"/>
      <c r="R93" s="455"/>
      <c r="S93" s="455"/>
      <c r="T93" s="455"/>
      <c r="U93" s="455"/>
      <c r="V93" s="455"/>
      <c r="W93" s="455"/>
      <c r="X93" s="455"/>
      <c r="Y93" s="456">
        <f t="shared" si="49"/>
        <v>652466000</v>
      </c>
      <c r="Z93" s="456">
        <f t="shared" si="49"/>
        <v>612296174</v>
      </c>
      <c r="AA93" s="456">
        <f t="shared" si="49"/>
        <v>587698174</v>
      </c>
      <c r="AB93" s="456">
        <f t="shared" si="49"/>
        <v>495165366</v>
      </c>
      <c r="AC93" s="439"/>
    </row>
    <row r="94" spans="1:29" ht="16.5" thickTop="1" thickBot="1" x14ac:dyDescent="0.3">
      <c r="A94" s="475"/>
      <c r="B94" s="475"/>
      <c r="C94" s="475"/>
      <c r="D94" s="475"/>
      <c r="E94" s="475"/>
      <c r="F94" s="475"/>
      <c r="G94" s="471"/>
      <c r="H94" s="471" t="s">
        <v>2223</v>
      </c>
      <c r="I94" s="659">
        <f>+I95</f>
        <v>7295232859</v>
      </c>
      <c r="J94" s="659">
        <f t="shared" ref="J94:X96" si="55">+J95</f>
        <v>7281770776</v>
      </c>
      <c r="K94" s="659">
        <f t="shared" si="55"/>
        <v>5235768421</v>
      </c>
      <c r="L94" s="659">
        <f t="shared" si="55"/>
        <v>4942005919</v>
      </c>
      <c r="M94" s="659">
        <f t="shared" si="55"/>
        <v>0</v>
      </c>
      <c r="N94" s="659">
        <f t="shared" si="55"/>
        <v>0</v>
      </c>
      <c r="O94" s="659">
        <f t="shared" si="55"/>
        <v>0</v>
      </c>
      <c r="P94" s="659">
        <f t="shared" si="55"/>
        <v>0</v>
      </c>
      <c r="Q94" s="660">
        <f t="shared" si="55"/>
        <v>0</v>
      </c>
      <c r="R94" s="660">
        <f t="shared" si="55"/>
        <v>0</v>
      </c>
      <c r="S94" s="660">
        <f t="shared" si="55"/>
        <v>0</v>
      </c>
      <c r="T94" s="660">
        <f t="shared" si="55"/>
        <v>0</v>
      </c>
      <c r="U94" s="660">
        <f t="shared" si="55"/>
        <v>0</v>
      </c>
      <c r="V94" s="660">
        <f t="shared" si="55"/>
        <v>0</v>
      </c>
      <c r="W94" s="660">
        <f t="shared" si="55"/>
        <v>0</v>
      </c>
      <c r="X94" s="660">
        <f t="shared" si="55"/>
        <v>0</v>
      </c>
      <c r="Y94" s="661">
        <f t="shared" si="49"/>
        <v>7295232859</v>
      </c>
      <c r="Z94" s="661">
        <f t="shared" si="49"/>
        <v>7281770776</v>
      </c>
      <c r="AA94" s="661">
        <f t="shared" si="49"/>
        <v>5235768421</v>
      </c>
      <c r="AB94" s="661">
        <f t="shared" si="49"/>
        <v>4942005919</v>
      </c>
      <c r="AC94" s="439"/>
    </row>
    <row r="95" spans="1:29" ht="16.5" thickTop="1" thickBot="1" x14ac:dyDescent="0.3">
      <c r="A95" s="475"/>
      <c r="B95" s="475"/>
      <c r="C95" s="475"/>
      <c r="D95" s="475"/>
      <c r="E95" s="461"/>
      <c r="F95" s="461"/>
      <c r="G95" s="461"/>
      <c r="H95" s="472" t="s">
        <v>2224</v>
      </c>
      <c r="I95" s="619">
        <f>5711112126+1584120733</f>
        <v>7295232859</v>
      </c>
      <c r="J95" s="619">
        <f>5705604392+1576166384</f>
        <v>7281770776</v>
      </c>
      <c r="K95" s="619">
        <f>3924605287+1311163134</f>
        <v>5235768421</v>
      </c>
      <c r="L95" s="619">
        <f>3781442785+1160563134</f>
        <v>4942005919</v>
      </c>
      <c r="M95" s="619">
        <f t="shared" si="55"/>
        <v>0</v>
      </c>
      <c r="N95" s="619">
        <f t="shared" si="55"/>
        <v>0</v>
      </c>
      <c r="O95" s="619">
        <f t="shared" si="55"/>
        <v>0</v>
      </c>
      <c r="P95" s="619">
        <f t="shared" si="55"/>
        <v>0</v>
      </c>
      <c r="Q95" s="455">
        <f t="shared" si="55"/>
        <v>0</v>
      </c>
      <c r="R95" s="455">
        <f t="shared" si="55"/>
        <v>0</v>
      </c>
      <c r="S95" s="455">
        <f t="shared" si="55"/>
        <v>0</v>
      </c>
      <c r="T95" s="455">
        <f t="shared" si="55"/>
        <v>0</v>
      </c>
      <c r="U95" s="455">
        <f t="shared" si="55"/>
        <v>0</v>
      </c>
      <c r="V95" s="455">
        <f t="shared" si="55"/>
        <v>0</v>
      </c>
      <c r="W95" s="455">
        <f t="shared" si="55"/>
        <v>0</v>
      </c>
      <c r="X95" s="455">
        <f t="shared" si="55"/>
        <v>0</v>
      </c>
      <c r="Y95" s="456">
        <f t="shared" si="49"/>
        <v>7295232859</v>
      </c>
      <c r="Z95" s="456">
        <f t="shared" si="49"/>
        <v>7281770776</v>
      </c>
      <c r="AA95" s="456">
        <f t="shared" si="49"/>
        <v>5235768421</v>
      </c>
      <c r="AB95" s="456">
        <f t="shared" si="49"/>
        <v>4942005919</v>
      </c>
      <c r="AC95" s="439"/>
    </row>
    <row r="96" spans="1:29" ht="16.5" thickTop="1" thickBot="1" x14ac:dyDescent="0.3">
      <c r="A96" s="444"/>
      <c r="B96" s="444"/>
      <c r="C96" s="446"/>
      <c r="D96" s="446"/>
      <c r="E96" s="445"/>
      <c r="F96" s="445"/>
      <c r="G96" s="444"/>
      <c r="H96" s="662" t="s">
        <v>2225</v>
      </c>
      <c r="I96" s="636">
        <f>+I97</f>
        <v>1619300000</v>
      </c>
      <c r="J96" s="636">
        <f t="shared" si="55"/>
        <v>1619298965</v>
      </c>
      <c r="K96" s="636">
        <f t="shared" si="55"/>
        <v>1619298965</v>
      </c>
      <c r="L96" s="636">
        <f t="shared" si="55"/>
        <v>1564136448</v>
      </c>
      <c r="M96" s="636">
        <f t="shared" si="55"/>
        <v>0</v>
      </c>
      <c r="N96" s="636">
        <f t="shared" si="55"/>
        <v>0</v>
      </c>
      <c r="O96" s="636">
        <f t="shared" si="55"/>
        <v>0</v>
      </c>
      <c r="P96" s="636">
        <f t="shared" si="55"/>
        <v>0</v>
      </c>
      <c r="Q96" s="637">
        <f t="shared" si="55"/>
        <v>0</v>
      </c>
      <c r="R96" s="637">
        <f t="shared" si="55"/>
        <v>0</v>
      </c>
      <c r="S96" s="637">
        <f t="shared" si="55"/>
        <v>0</v>
      </c>
      <c r="T96" s="637">
        <f t="shared" si="55"/>
        <v>0</v>
      </c>
      <c r="U96" s="637">
        <f t="shared" si="55"/>
        <v>0</v>
      </c>
      <c r="V96" s="637">
        <f t="shared" si="55"/>
        <v>0</v>
      </c>
      <c r="W96" s="637">
        <f t="shared" si="55"/>
        <v>0</v>
      </c>
      <c r="X96" s="637">
        <f t="shared" si="55"/>
        <v>0</v>
      </c>
      <c r="Y96" s="638">
        <f t="shared" si="49"/>
        <v>1619300000</v>
      </c>
      <c r="Z96" s="638">
        <f t="shared" si="49"/>
        <v>1619298965</v>
      </c>
      <c r="AA96" s="638">
        <f t="shared" si="49"/>
        <v>1619298965</v>
      </c>
      <c r="AB96" s="638">
        <f t="shared" si="49"/>
        <v>1564136448</v>
      </c>
      <c r="AC96" s="439"/>
    </row>
    <row r="97" spans="1:29" ht="16.5" thickTop="1" thickBot="1" x14ac:dyDescent="0.3">
      <c r="A97" s="444"/>
      <c r="B97" s="444"/>
      <c r="C97" s="446"/>
      <c r="D97" s="446"/>
      <c r="E97" s="445"/>
      <c r="F97" s="445"/>
      <c r="G97" s="445"/>
      <c r="H97" s="472" t="s">
        <v>2226</v>
      </c>
      <c r="I97" s="616">
        <f>367750115+1251549885</f>
        <v>1619300000</v>
      </c>
      <c r="J97" s="616">
        <f>367750115+1251548850</f>
        <v>1619298965</v>
      </c>
      <c r="K97" s="616">
        <f>367750115+1251548850</f>
        <v>1619298965</v>
      </c>
      <c r="L97" s="616">
        <f>312587598+1251548850</f>
        <v>1564136448</v>
      </c>
      <c r="M97" s="616"/>
      <c r="N97" s="616"/>
      <c r="O97" s="616"/>
      <c r="P97" s="616"/>
      <c r="Q97" s="448"/>
      <c r="R97" s="448"/>
      <c r="S97" s="448"/>
      <c r="T97" s="448"/>
      <c r="U97" s="448"/>
      <c r="V97" s="448"/>
      <c r="W97" s="448"/>
      <c r="X97" s="448"/>
      <c r="Y97" s="449">
        <f t="shared" si="49"/>
        <v>1619300000</v>
      </c>
      <c r="Z97" s="449">
        <f t="shared" si="49"/>
        <v>1619298965</v>
      </c>
      <c r="AA97" s="449">
        <f>+K97+O97+S97+W97</f>
        <v>1619298965</v>
      </c>
      <c r="AB97" s="449">
        <f t="shared" si="49"/>
        <v>1564136448</v>
      </c>
      <c r="AC97" s="439"/>
    </row>
    <row r="98" spans="1:29" ht="16.5" thickTop="1" thickBot="1" x14ac:dyDescent="0.3">
      <c r="A98" s="669"/>
      <c r="B98" s="669"/>
      <c r="C98" s="670"/>
      <c r="D98" s="670"/>
      <c r="E98" s="670"/>
      <c r="F98" s="670"/>
      <c r="G98" s="670"/>
      <c r="H98" s="671" t="s">
        <v>2233</v>
      </c>
      <c r="I98" s="672">
        <f>+I47+I37+I4</f>
        <v>102727966160</v>
      </c>
      <c r="J98" s="672">
        <f t="shared" ref="J98:X98" si="56">+J47+J37+J4</f>
        <v>99482636922</v>
      </c>
      <c r="K98" s="672">
        <f t="shared" si="56"/>
        <v>46951251631</v>
      </c>
      <c r="L98" s="672">
        <f t="shared" si="56"/>
        <v>44082994457</v>
      </c>
      <c r="M98" s="672">
        <f t="shared" si="56"/>
        <v>11828894196</v>
      </c>
      <c r="N98" s="672">
        <f t="shared" si="56"/>
        <v>11825439278</v>
      </c>
      <c r="O98" s="672">
        <f t="shared" si="56"/>
        <v>11505896278</v>
      </c>
      <c r="P98" s="672">
        <f t="shared" si="56"/>
        <v>11505896278</v>
      </c>
      <c r="Q98" s="672">
        <f t="shared" si="56"/>
        <v>0</v>
      </c>
      <c r="R98" s="672">
        <f t="shared" si="56"/>
        <v>0</v>
      </c>
      <c r="S98" s="672">
        <f t="shared" si="56"/>
        <v>0</v>
      </c>
      <c r="T98" s="672">
        <f t="shared" si="56"/>
        <v>0</v>
      </c>
      <c r="U98" s="672">
        <f t="shared" si="56"/>
        <v>0</v>
      </c>
      <c r="V98" s="672">
        <f t="shared" si="56"/>
        <v>0</v>
      </c>
      <c r="W98" s="672">
        <f t="shared" si="56"/>
        <v>0</v>
      </c>
      <c r="X98" s="672">
        <f t="shared" si="56"/>
        <v>0</v>
      </c>
      <c r="Y98" s="675">
        <f t="shared" ref="Y98:AB98" si="57">+I98+M98+Q98+U98</f>
        <v>114556860356</v>
      </c>
      <c r="Z98" s="675">
        <f t="shared" si="57"/>
        <v>111308076200</v>
      </c>
      <c r="AA98" s="675">
        <f>+K98+O98+S98+W98</f>
        <v>58457147909</v>
      </c>
      <c r="AB98" s="675">
        <f t="shared" si="57"/>
        <v>55588890735</v>
      </c>
      <c r="AC98" s="439"/>
    </row>
    <row r="99" spans="1:29" ht="15.75" thickTop="1" x14ac:dyDescent="0.25"/>
  </sheetData>
  <mergeCells count="13">
    <mergeCell ref="Y2:AB2"/>
    <mergeCell ref="G2:G3"/>
    <mergeCell ref="H2:H3"/>
    <mergeCell ref="I2:L2"/>
    <mergeCell ref="M2:P2"/>
    <mergeCell ref="Q2:T2"/>
    <mergeCell ref="U2:X2"/>
    <mergeCell ref="F2:F3"/>
    <mergeCell ref="A2:A3"/>
    <mergeCell ref="B2:B3"/>
    <mergeCell ref="C2:C3"/>
    <mergeCell ref="D2:D3"/>
    <mergeCell ref="E2:E3"/>
  </mergeCells>
  <printOptions horizontalCentered="1" verticalCentered="1"/>
  <pageMargins left="0.78740157480314965" right="0.78740157480314965" top="0.98425196850393704" bottom="0.98425196850393704" header="0" footer="0"/>
  <pageSetup paperSize="9" scale="86"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BG98"/>
  <sheetViews>
    <sheetView topLeftCell="H1" zoomScale="110" zoomScaleNormal="110" zoomScaleSheetLayoutView="100" workbookViewId="0">
      <pane xSplit="8745" ySplit="1695" topLeftCell="I1" activePane="bottomRight"/>
      <selection activeCell="I10" sqref="I10"/>
      <selection pane="topRight" activeCell="I12" sqref="I12"/>
      <selection pane="bottomLeft" activeCell="H13" sqref="A13:XFD13"/>
      <selection pane="bottomRight" activeCell="K47" sqref="K47"/>
    </sheetView>
  </sheetViews>
  <sheetFormatPr baseColWidth="10" defaultColWidth="14.42578125" defaultRowHeight="15" x14ac:dyDescent="0.25"/>
  <cols>
    <col min="1" max="1" width="15.140625" bestFit="1" customWidth="1"/>
    <col min="2" max="3" width="13.28515625" bestFit="1" customWidth="1"/>
    <col min="4" max="4" width="12" bestFit="1" customWidth="1"/>
    <col min="5" max="7" width="9" bestFit="1" customWidth="1"/>
    <col min="8" max="8" width="74.42578125" bestFit="1" customWidth="1"/>
    <col min="9" max="9" width="19" style="432" bestFit="1" customWidth="1"/>
    <col min="10" max="10" width="17.7109375" bestFit="1" customWidth="1"/>
    <col min="11" max="11" width="16.42578125" bestFit="1" customWidth="1"/>
    <col min="12" max="12" width="11.7109375" bestFit="1" customWidth="1"/>
    <col min="13" max="13" width="18.42578125" bestFit="1" customWidth="1"/>
    <col min="14" max="14" width="17.7109375" bestFit="1" customWidth="1"/>
    <col min="15" max="15" width="16.42578125" bestFit="1" customWidth="1"/>
    <col min="16" max="16" width="10.85546875" bestFit="1" customWidth="1"/>
    <col min="17" max="17" width="18.42578125" bestFit="1" customWidth="1"/>
    <col min="18" max="18" width="17.7109375" bestFit="1" customWidth="1"/>
    <col min="19" max="19" width="16.42578125" bestFit="1" customWidth="1"/>
    <col min="20" max="20" width="8.140625" bestFit="1" customWidth="1"/>
    <col min="21" max="21" width="18.42578125" bestFit="1" customWidth="1"/>
    <col min="22" max="22" width="17.7109375" bestFit="1" customWidth="1"/>
    <col min="23" max="23" width="16.42578125" bestFit="1" customWidth="1"/>
    <col min="24" max="24" width="8.140625" bestFit="1" customWidth="1"/>
    <col min="25" max="27" width="18.42578125" bestFit="1" customWidth="1"/>
    <col min="28" max="28" width="16.85546875" bestFit="1" customWidth="1"/>
    <col min="29" max="29" width="22.7109375" bestFit="1" customWidth="1"/>
  </cols>
  <sheetData>
    <row r="1" spans="1:29" ht="15.75" thickBot="1" x14ac:dyDescent="0.3"/>
    <row r="2" spans="1:29" ht="30.75" customHeight="1" thickTop="1" thickBot="1" x14ac:dyDescent="0.3">
      <c r="A2" s="1367" t="s">
        <v>201</v>
      </c>
      <c r="B2" s="1367" t="s">
        <v>202</v>
      </c>
      <c r="C2" s="1369" t="s">
        <v>203</v>
      </c>
      <c r="D2" s="1367" t="s">
        <v>204</v>
      </c>
      <c r="E2" s="1367" t="s">
        <v>205</v>
      </c>
      <c r="F2" s="1367" t="s">
        <v>206</v>
      </c>
      <c r="G2" s="1367" t="s">
        <v>207</v>
      </c>
      <c r="H2" s="1369" t="s">
        <v>779</v>
      </c>
      <c r="I2" s="1371" t="s">
        <v>780</v>
      </c>
      <c r="J2" s="1372"/>
      <c r="K2" s="1372"/>
      <c r="L2" s="1373"/>
      <c r="M2" s="1371" t="s">
        <v>781</v>
      </c>
      <c r="N2" s="1372"/>
      <c r="O2" s="1372"/>
      <c r="P2" s="1373"/>
      <c r="Q2" s="1371" t="s">
        <v>782</v>
      </c>
      <c r="R2" s="1372"/>
      <c r="S2" s="1372"/>
      <c r="T2" s="1373"/>
      <c r="U2" s="1371" t="s">
        <v>783</v>
      </c>
      <c r="V2" s="1372"/>
      <c r="W2" s="1372"/>
      <c r="X2" s="1373"/>
      <c r="Y2" s="1371" t="s">
        <v>784</v>
      </c>
      <c r="Z2" s="1372"/>
      <c r="AA2" s="1372"/>
      <c r="AB2" s="1373"/>
      <c r="AC2" s="433" t="s">
        <v>785</v>
      </c>
    </row>
    <row r="3" spans="1:29" ht="24" thickTop="1" thickBot="1" x14ac:dyDescent="0.3">
      <c r="A3" s="1368"/>
      <c r="B3" s="1368"/>
      <c r="C3" s="1370"/>
      <c r="D3" s="1368"/>
      <c r="E3" s="1368"/>
      <c r="F3" s="1368"/>
      <c r="G3" s="1368"/>
      <c r="H3" s="1370"/>
      <c r="I3" s="434" t="s">
        <v>786</v>
      </c>
      <c r="J3" s="600" t="s">
        <v>787</v>
      </c>
      <c r="K3" s="600" t="s">
        <v>788</v>
      </c>
      <c r="L3" s="600" t="s">
        <v>789</v>
      </c>
      <c r="M3" s="600" t="s">
        <v>786</v>
      </c>
      <c r="N3" s="600" t="s">
        <v>787</v>
      </c>
      <c r="O3" s="600" t="s">
        <v>788</v>
      </c>
      <c r="P3" s="600" t="s">
        <v>789</v>
      </c>
      <c r="Q3" s="600" t="s">
        <v>786</v>
      </c>
      <c r="R3" s="600" t="s">
        <v>787</v>
      </c>
      <c r="S3" s="600" t="s">
        <v>788</v>
      </c>
      <c r="T3" s="600" t="s">
        <v>789</v>
      </c>
      <c r="U3" s="600" t="s">
        <v>786</v>
      </c>
      <c r="V3" s="600" t="s">
        <v>787</v>
      </c>
      <c r="W3" s="600" t="s">
        <v>788</v>
      </c>
      <c r="X3" s="600" t="s">
        <v>789</v>
      </c>
      <c r="Y3" s="600" t="s">
        <v>786</v>
      </c>
      <c r="Z3" s="600" t="s">
        <v>787</v>
      </c>
      <c r="AA3" s="600" t="s">
        <v>788</v>
      </c>
      <c r="AB3" s="600" t="s">
        <v>790</v>
      </c>
      <c r="AC3" s="600"/>
    </row>
    <row r="4" spans="1:29" ht="16.5" thickTop="1" thickBot="1" x14ac:dyDescent="0.3">
      <c r="A4" s="435" t="s">
        <v>227</v>
      </c>
      <c r="B4" s="435" t="s">
        <v>220</v>
      </c>
      <c r="C4" s="435"/>
      <c r="D4" s="435"/>
      <c r="E4" s="435"/>
      <c r="F4" s="435"/>
      <c r="G4" s="435"/>
      <c r="H4" s="436" t="s">
        <v>791</v>
      </c>
      <c r="I4" s="612">
        <f>+I5+I6+I9+I24</f>
        <v>19490026497</v>
      </c>
      <c r="J4" s="612">
        <f>+J5+J6+J9+J24</f>
        <v>15353482111</v>
      </c>
      <c r="K4" s="612">
        <f t="shared" ref="K4:X4" si="0">+K5+K6+K9+K24</f>
        <v>15205620736</v>
      </c>
      <c r="L4" s="612">
        <f t="shared" si="0"/>
        <v>14422261062</v>
      </c>
      <c r="M4" s="612">
        <f>+M5+M6+M9+M24+M17</f>
        <v>2441226240</v>
      </c>
      <c r="N4" s="612">
        <f t="shared" ref="N4:P4" si="1">+N5+N6+N9+N24+N17</f>
        <v>2440858209</v>
      </c>
      <c r="O4" s="612">
        <f t="shared" si="1"/>
        <v>2440858209</v>
      </c>
      <c r="P4" s="612">
        <f t="shared" si="1"/>
        <v>2440858209</v>
      </c>
      <c r="Q4" s="438">
        <f>+Q5+Q6+Q9+Q24+Q17</f>
        <v>0</v>
      </c>
      <c r="R4" s="438">
        <f t="shared" ref="R4:T4" si="2">+R5+R6+R9+R24+R17</f>
        <v>0</v>
      </c>
      <c r="S4" s="438">
        <f t="shared" si="2"/>
        <v>0</v>
      </c>
      <c r="T4" s="438">
        <f t="shared" si="2"/>
        <v>0</v>
      </c>
      <c r="U4" s="438">
        <f t="shared" si="0"/>
        <v>0</v>
      </c>
      <c r="V4" s="438">
        <f t="shared" si="0"/>
        <v>0</v>
      </c>
      <c r="W4" s="438">
        <f t="shared" si="0"/>
        <v>0</v>
      </c>
      <c r="X4" s="438">
        <f t="shared" si="0"/>
        <v>0</v>
      </c>
      <c r="Y4" s="613">
        <f>+I4+M4+Q4+U4</f>
        <v>21931252737</v>
      </c>
      <c r="Z4" s="613">
        <f t="shared" ref="Z4:AB19" si="3">+J4+N4+R4+V4</f>
        <v>17794340320</v>
      </c>
      <c r="AA4" s="613">
        <f>+K4+O4+S4+W4</f>
        <v>17646478945</v>
      </c>
      <c r="AB4" s="613">
        <f>+L4+P4+T4+X4</f>
        <v>16863119271</v>
      </c>
      <c r="AC4" s="740"/>
    </row>
    <row r="5" spans="1:29" ht="16.5" thickTop="1" thickBot="1" x14ac:dyDescent="0.3">
      <c r="A5" s="440" t="s">
        <v>227</v>
      </c>
      <c r="B5" s="440" t="s">
        <v>220</v>
      </c>
      <c r="C5" s="440" t="s">
        <v>220</v>
      </c>
      <c r="D5" s="440"/>
      <c r="E5" s="440"/>
      <c r="F5" s="440"/>
      <c r="G5" s="440"/>
      <c r="H5" s="441" t="s">
        <v>792</v>
      </c>
      <c r="I5" s="614">
        <v>9885476268</v>
      </c>
      <c r="J5" s="614">
        <v>8834331204</v>
      </c>
      <c r="K5" s="614">
        <v>8834331204</v>
      </c>
      <c r="L5" s="614">
        <v>8552185909</v>
      </c>
      <c r="M5" s="614">
        <v>2368563840</v>
      </c>
      <c r="N5" s="614">
        <v>2368195809</v>
      </c>
      <c r="O5" s="614">
        <v>2368195809</v>
      </c>
      <c r="P5" s="614">
        <v>2368195809</v>
      </c>
      <c r="Q5" s="442">
        <v>0</v>
      </c>
      <c r="R5" s="442">
        <v>0</v>
      </c>
      <c r="S5" s="442">
        <v>0</v>
      </c>
      <c r="T5" s="442">
        <v>0</v>
      </c>
      <c r="U5" s="442"/>
      <c r="V5" s="442"/>
      <c r="W5" s="442"/>
      <c r="X5" s="442"/>
      <c r="Y5" s="442">
        <f t="shared" ref="Y5:AB20" si="4">+I5+M5+Q5+U5</f>
        <v>12254040108</v>
      </c>
      <c r="Z5" s="442">
        <f t="shared" si="3"/>
        <v>11202527013</v>
      </c>
      <c r="AA5" s="442">
        <f t="shared" si="3"/>
        <v>11202527013</v>
      </c>
      <c r="AB5" s="442">
        <f t="shared" si="3"/>
        <v>10920381718</v>
      </c>
      <c r="AC5" s="439"/>
    </row>
    <row r="6" spans="1:29" ht="16.5" thickTop="1" thickBot="1" x14ac:dyDescent="0.3">
      <c r="A6" s="443">
        <v>2</v>
      </c>
      <c r="B6" s="440" t="s">
        <v>220</v>
      </c>
      <c r="C6" s="440" t="s">
        <v>231</v>
      </c>
      <c r="D6" s="440"/>
      <c r="E6" s="440"/>
      <c r="F6" s="440"/>
      <c r="G6" s="440"/>
      <c r="H6" s="441" t="s">
        <v>793</v>
      </c>
      <c r="I6" s="615">
        <f t="shared" ref="I6:X6" si="5">+I7+I8</f>
        <v>7099428000</v>
      </c>
      <c r="J6" s="614">
        <f t="shared" si="5"/>
        <v>4816853315</v>
      </c>
      <c r="K6" s="614">
        <f t="shared" si="5"/>
        <v>4670785205</v>
      </c>
      <c r="L6" s="614">
        <f t="shared" si="5"/>
        <v>4365487620</v>
      </c>
      <c r="M6" s="614">
        <f t="shared" si="5"/>
        <v>49100000</v>
      </c>
      <c r="N6" s="614">
        <f t="shared" si="5"/>
        <v>49100000</v>
      </c>
      <c r="O6" s="614">
        <f t="shared" si="5"/>
        <v>49100000</v>
      </c>
      <c r="P6" s="614">
        <f t="shared" si="5"/>
        <v>49100000</v>
      </c>
      <c r="Q6" s="442">
        <f t="shared" si="5"/>
        <v>0</v>
      </c>
      <c r="R6" s="442">
        <f t="shared" si="5"/>
        <v>0</v>
      </c>
      <c r="S6" s="442">
        <f t="shared" si="5"/>
        <v>0</v>
      </c>
      <c r="T6" s="442">
        <f t="shared" si="5"/>
        <v>0</v>
      </c>
      <c r="U6" s="442">
        <f t="shared" si="5"/>
        <v>0</v>
      </c>
      <c r="V6" s="442">
        <f t="shared" si="5"/>
        <v>0</v>
      </c>
      <c r="W6" s="442">
        <f t="shared" si="5"/>
        <v>0</v>
      </c>
      <c r="X6" s="442">
        <f t="shared" si="5"/>
        <v>0</v>
      </c>
      <c r="Y6" s="442">
        <f t="shared" si="4"/>
        <v>7148528000</v>
      </c>
      <c r="Z6" s="442">
        <f t="shared" si="3"/>
        <v>4865953315</v>
      </c>
      <c r="AA6" s="442">
        <f t="shared" si="3"/>
        <v>4719885205</v>
      </c>
      <c r="AB6" s="442">
        <f t="shared" si="3"/>
        <v>4414587620</v>
      </c>
      <c r="AC6" s="439"/>
    </row>
    <row r="7" spans="1:29" ht="16.5" thickTop="1" thickBot="1" x14ac:dyDescent="0.3">
      <c r="A7" s="444">
        <v>2</v>
      </c>
      <c r="B7" s="445" t="s">
        <v>220</v>
      </c>
      <c r="C7" s="445" t="s">
        <v>231</v>
      </c>
      <c r="D7" s="445" t="s">
        <v>220</v>
      </c>
      <c r="E7" s="446"/>
      <c r="F7" s="446"/>
      <c r="G7" s="446"/>
      <c r="H7" s="447" t="s">
        <v>794</v>
      </c>
      <c r="I7" s="616">
        <v>318900000</v>
      </c>
      <c r="J7" s="616">
        <v>6149197</v>
      </c>
      <c r="K7" s="616">
        <v>6149197</v>
      </c>
      <c r="L7" s="616">
        <v>6149197</v>
      </c>
      <c r="M7" s="616">
        <v>0</v>
      </c>
      <c r="N7" s="616"/>
      <c r="O7" s="616"/>
      <c r="P7" s="616"/>
      <c r="Q7" s="449">
        <v>0</v>
      </c>
      <c r="R7" s="449"/>
      <c r="S7" s="449"/>
      <c r="T7" s="449"/>
      <c r="U7" s="449"/>
      <c r="V7" s="449"/>
      <c r="W7" s="449"/>
      <c r="X7" s="449"/>
      <c r="Y7" s="449">
        <f t="shared" si="4"/>
        <v>318900000</v>
      </c>
      <c r="Z7" s="449">
        <f t="shared" si="3"/>
        <v>6149197</v>
      </c>
      <c r="AA7" s="449">
        <f t="shared" si="3"/>
        <v>6149197</v>
      </c>
      <c r="AB7" s="449">
        <f t="shared" si="3"/>
        <v>6149197</v>
      </c>
      <c r="AC7" s="439"/>
    </row>
    <row r="8" spans="1:29" ht="16.5" thickTop="1" thickBot="1" x14ac:dyDescent="0.3">
      <c r="A8" s="444">
        <v>2</v>
      </c>
      <c r="B8" s="445" t="s">
        <v>220</v>
      </c>
      <c r="C8" s="445" t="s">
        <v>231</v>
      </c>
      <c r="D8" s="445" t="s">
        <v>220</v>
      </c>
      <c r="E8" s="446"/>
      <c r="F8" s="446"/>
      <c r="G8" s="446"/>
      <c r="H8" s="447" t="s">
        <v>795</v>
      </c>
      <c r="I8" s="617">
        <v>6780528000</v>
      </c>
      <c r="J8" s="616">
        <v>4810704118</v>
      </c>
      <c r="K8" s="616">
        <v>4664636008</v>
      </c>
      <c r="L8" s="616">
        <v>4359338423</v>
      </c>
      <c r="M8" s="616">
        <v>49100000</v>
      </c>
      <c r="N8" s="616">
        <v>49100000</v>
      </c>
      <c r="O8" s="616">
        <v>49100000</v>
      </c>
      <c r="P8" s="616">
        <v>49100000</v>
      </c>
      <c r="Q8" s="449">
        <v>0</v>
      </c>
      <c r="R8" s="449">
        <v>0</v>
      </c>
      <c r="S8" s="449">
        <v>0</v>
      </c>
      <c r="T8" s="449">
        <v>0</v>
      </c>
      <c r="U8" s="449"/>
      <c r="V8" s="449"/>
      <c r="W8" s="449"/>
      <c r="X8" s="449"/>
      <c r="Y8" s="449">
        <f t="shared" si="4"/>
        <v>6829628000</v>
      </c>
      <c r="Z8" s="449">
        <f t="shared" si="3"/>
        <v>4859804118</v>
      </c>
      <c r="AA8" s="449">
        <f t="shared" si="3"/>
        <v>4713736008</v>
      </c>
      <c r="AB8" s="449">
        <f t="shared" si="3"/>
        <v>4408438423</v>
      </c>
      <c r="AC8" s="439"/>
    </row>
    <row r="9" spans="1:29" s="450" customFormat="1" ht="16.5" thickTop="1" thickBot="1" x14ac:dyDescent="0.3">
      <c r="A9" s="443">
        <v>2</v>
      </c>
      <c r="B9" s="440" t="s">
        <v>220</v>
      </c>
      <c r="C9" s="440" t="s">
        <v>305</v>
      </c>
      <c r="D9" s="440"/>
      <c r="E9" s="440"/>
      <c r="F9" s="440"/>
      <c r="G9" s="440"/>
      <c r="H9" s="441" t="s">
        <v>796</v>
      </c>
      <c r="I9" s="614">
        <f>+I10</f>
        <v>2262914229</v>
      </c>
      <c r="J9" s="614">
        <f>+J10</f>
        <v>1477138245</v>
      </c>
      <c r="K9" s="614">
        <f t="shared" ref="K9:L9" si="6">+K10</f>
        <v>1475344980</v>
      </c>
      <c r="L9" s="614">
        <f t="shared" si="6"/>
        <v>1279428186</v>
      </c>
      <c r="M9" s="614">
        <f t="shared" ref="M9:X9" si="7">+M10+M15+M21</f>
        <v>0</v>
      </c>
      <c r="N9" s="614">
        <f t="shared" si="7"/>
        <v>0</v>
      </c>
      <c r="O9" s="614">
        <f t="shared" si="7"/>
        <v>0</v>
      </c>
      <c r="P9" s="614">
        <f t="shared" si="7"/>
        <v>0</v>
      </c>
      <c r="Q9" s="442">
        <f t="shared" si="7"/>
        <v>0</v>
      </c>
      <c r="R9" s="442">
        <f t="shared" si="7"/>
        <v>0</v>
      </c>
      <c r="S9" s="442">
        <f t="shared" si="7"/>
        <v>0</v>
      </c>
      <c r="T9" s="442">
        <f t="shared" si="7"/>
        <v>0</v>
      </c>
      <c r="U9" s="442">
        <f t="shared" si="7"/>
        <v>0</v>
      </c>
      <c r="V9" s="442">
        <f t="shared" si="7"/>
        <v>0</v>
      </c>
      <c r="W9" s="442">
        <f t="shared" si="7"/>
        <v>0</v>
      </c>
      <c r="X9" s="442">
        <f t="shared" si="7"/>
        <v>0</v>
      </c>
      <c r="Y9" s="442">
        <f t="shared" si="4"/>
        <v>2262914229</v>
      </c>
      <c r="Z9" s="442">
        <f t="shared" si="3"/>
        <v>1477138245</v>
      </c>
      <c r="AA9" s="442">
        <f t="shared" si="3"/>
        <v>1475344980</v>
      </c>
      <c r="AB9" s="442">
        <f t="shared" si="3"/>
        <v>1279428186</v>
      </c>
      <c r="AC9" s="439"/>
    </row>
    <row r="10" spans="1:29" s="450" customFormat="1" ht="16.5" thickTop="1" thickBot="1" x14ac:dyDescent="0.3">
      <c r="A10" s="451">
        <v>2</v>
      </c>
      <c r="B10" s="452" t="s">
        <v>220</v>
      </c>
      <c r="C10" s="452" t="s">
        <v>305</v>
      </c>
      <c r="D10" s="452" t="s">
        <v>220</v>
      </c>
      <c r="E10" s="452"/>
      <c r="F10" s="452"/>
      <c r="G10" s="452"/>
      <c r="H10" s="453" t="s">
        <v>797</v>
      </c>
      <c r="I10" s="618">
        <f>+I11+I15+I17+I21</f>
        <v>2262914229</v>
      </c>
      <c r="J10" s="618">
        <f>+J11+J15+J17+J21</f>
        <v>1477138245</v>
      </c>
      <c r="K10" s="618">
        <f>+K11+K15+K17+K21</f>
        <v>1475344980</v>
      </c>
      <c r="L10" s="618">
        <f>+L11+L15+L17+L21</f>
        <v>1279428186</v>
      </c>
      <c r="M10" s="618">
        <f t="shared" ref="M10:X10" si="8">+M11+M15</f>
        <v>0</v>
      </c>
      <c r="N10" s="618">
        <f t="shared" si="8"/>
        <v>0</v>
      </c>
      <c r="O10" s="618">
        <f t="shared" si="8"/>
        <v>0</v>
      </c>
      <c r="P10" s="618">
        <f t="shared" si="8"/>
        <v>0</v>
      </c>
      <c r="Q10" s="454">
        <f t="shared" si="8"/>
        <v>0</v>
      </c>
      <c r="R10" s="454">
        <f t="shared" si="8"/>
        <v>0</v>
      </c>
      <c r="S10" s="454">
        <f t="shared" si="8"/>
        <v>0</v>
      </c>
      <c r="T10" s="454">
        <f t="shared" si="8"/>
        <v>0</v>
      </c>
      <c r="U10" s="454">
        <f t="shared" si="8"/>
        <v>0</v>
      </c>
      <c r="V10" s="454">
        <f t="shared" si="8"/>
        <v>0</v>
      </c>
      <c r="W10" s="454">
        <f t="shared" si="8"/>
        <v>0</v>
      </c>
      <c r="X10" s="454">
        <f t="shared" si="8"/>
        <v>0</v>
      </c>
      <c r="Y10" s="454">
        <f t="shared" si="4"/>
        <v>2262914229</v>
      </c>
      <c r="Z10" s="454">
        <f t="shared" si="3"/>
        <v>1477138245</v>
      </c>
      <c r="AA10" s="454">
        <f t="shared" si="3"/>
        <v>1475344980</v>
      </c>
      <c r="AB10" s="454">
        <f t="shared" si="3"/>
        <v>1279428186</v>
      </c>
      <c r="AC10" s="439"/>
    </row>
    <row r="11" spans="1:29" s="457" customFormat="1" ht="16.5" thickTop="1" thickBot="1" x14ac:dyDescent="0.3">
      <c r="A11" s="444"/>
      <c r="B11" s="445" t="s">
        <v>220</v>
      </c>
      <c r="C11" s="445" t="s">
        <v>305</v>
      </c>
      <c r="D11" s="445" t="s">
        <v>220</v>
      </c>
      <c r="E11" s="445" t="s">
        <v>220</v>
      </c>
      <c r="F11" s="445"/>
      <c r="G11" s="445"/>
      <c r="H11" s="459" t="s">
        <v>798</v>
      </c>
      <c r="I11" s="619">
        <f>+I12</f>
        <v>1957112629</v>
      </c>
      <c r="J11" s="619">
        <f t="shared" ref="J11:X11" si="9">+J12</f>
        <v>1262355288</v>
      </c>
      <c r="K11" s="619">
        <f>+K12</f>
        <v>1262355288</v>
      </c>
      <c r="L11" s="619">
        <f t="shared" si="9"/>
        <v>1161100413</v>
      </c>
      <c r="M11" s="619">
        <f t="shared" si="9"/>
        <v>0</v>
      </c>
      <c r="N11" s="619">
        <f t="shared" si="9"/>
        <v>0</v>
      </c>
      <c r="O11" s="619">
        <f t="shared" si="9"/>
        <v>0</v>
      </c>
      <c r="P11" s="619">
        <f t="shared" si="9"/>
        <v>0</v>
      </c>
      <c r="Q11" s="456">
        <f t="shared" si="9"/>
        <v>0</v>
      </c>
      <c r="R11" s="456">
        <f t="shared" si="9"/>
        <v>0</v>
      </c>
      <c r="S11" s="456">
        <f t="shared" si="9"/>
        <v>0</v>
      </c>
      <c r="T11" s="456">
        <f t="shared" si="9"/>
        <v>0</v>
      </c>
      <c r="U11" s="456">
        <f t="shared" si="9"/>
        <v>0</v>
      </c>
      <c r="V11" s="456">
        <f t="shared" si="9"/>
        <v>0</v>
      </c>
      <c r="W11" s="456">
        <f t="shared" si="9"/>
        <v>0</v>
      </c>
      <c r="X11" s="456">
        <f t="shared" si="9"/>
        <v>0</v>
      </c>
      <c r="Y11" s="456">
        <f t="shared" si="4"/>
        <v>1957112629</v>
      </c>
      <c r="Z11" s="456">
        <f t="shared" si="3"/>
        <v>1262355288</v>
      </c>
      <c r="AA11" s="456">
        <f t="shared" si="3"/>
        <v>1262355288</v>
      </c>
      <c r="AB11" s="456">
        <f t="shared" si="3"/>
        <v>1161100413</v>
      </c>
      <c r="AC11" s="439"/>
    </row>
    <row r="12" spans="1:29" ht="16.5" thickTop="1" thickBot="1" x14ac:dyDescent="0.3">
      <c r="A12" s="444">
        <v>2</v>
      </c>
      <c r="B12" s="445" t="s">
        <v>220</v>
      </c>
      <c r="C12" s="445" t="s">
        <v>305</v>
      </c>
      <c r="D12" s="445" t="s">
        <v>220</v>
      </c>
      <c r="E12" s="445" t="s">
        <v>220</v>
      </c>
      <c r="F12" s="445" t="s">
        <v>220</v>
      </c>
      <c r="G12" s="446"/>
      <c r="H12" s="459" t="s">
        <v>799</v>
      </c>
      <c r="I12" s="730">
        <f>+I13+I14</f>
        <v>1957112629</v>
      </c>
      <c r="J12" s="616">
        <f t="shared" ref="J12:X12" si="10">+J13+J14</f>
        <v>1262355288</v>
      </c>
      <c r="K12" s="616">
        <f>+K13+K14</f>
        <v>1262355288</v>
      </c>
      <c r="L12" s="616">
        <f t="shared" si="10"/>
        <v>1161100413</v>
      </c>
      <c r="M12" s="616">
        <f t="shared" si="10"/>
        <v>0</v>
      </c>
      <c r="N12" s="616">
        <f t="shared" si="10"/>
        <v>0</v>
      </c>
      <c r="O12" s="616">
        <f t="shared" si="10"/>
        <v>0</v>
      </c>
      <c r="P12" s="616">
        <f t="shared" si="10"/>
        <v>0</v>
      </c>
      <c r="Q12" s="449">
        <f t="shared" si="10"/>
        <v>0</v>
      </c>
      <c r="R12" s="449">
        <f t="shared" si="10"/>
        <v>0</v>
      </c>
      <c r="S12" s="449">
        <f t="shared" si="10"/>
        <v>0</v>
      </c>
      <c r="T12" s="449">
        <f t="shared" si="10"/>
        <v>0</v>
      </c>
      <c r="U12" s="449">
        <f t="shared" si="10"/>
        <v>0</v>
      </c>
      <c r="V12" s="449">
        <f t="shared" si="10"/>
        <v>0</v>
      </c>
      <c r="W12" s="449">
        <f t="shared" si="10"/>
        <v>0</v>
      </c>
      <c r="X12" s="449">
        <f t="shared" si="10"/>
        <v>0</v>
      </c>
      <c r="Y12" s="674">
        <f t="shared" si="4"/>
        <v>1957112629</v>
      </c>
      <c r="Z12" s="449">
        <f t="shared" si="3"/>
        <v>1262355288</v>
      </c>
      <c r="AA12" s="449">
        <f t="shared" si="3"/>
        <v>1262355288</v>
      </c>
      <c r="AB12" s="449">
        <f t="shared" si="3"/>
        <v>1161100413</v>
      </c>
      <c r="AC12" s="439"/>
    </row>
    <row r="13" spans="1:29" ht="16.5" thickTop="1" thickBot="1" x14ac:dyDescent="0.3">
      <c r="A13" s="444">
        <v>2</v>
      </c>
      <c r="B13" s="445" t="s">
        <v>220</v>
      </c>
      <c r="C13" s="445" t="s">
        <v>305</v>
      </c>
      <c r="D13" s="445" t="s">
        <v>220</v>
      </c>
      <c r="E13" s="445" t="s">
        <v>220</v>
      </c>
      <c r="F13" s="445" t="s">
        <v>220</v>
      </c>
      <c r="G13" s="445" t="s">
        <v>220</v>
      </c>
      <c r="H13" s="447" t="s">
        <v>800</v>
      </c>
      <c r="I13" s="616">
        <v>1094412629</v>
      </c>
      <c r="J13" s="616">
        <v>1070733761</v>
      </c>
      <c r="K13" s="616">
        <v>1070733761</v>
      </c>
      <c r="L13" s="616">
        <v>983971090</v>
      </c>
      <c r="M13" s="616"/>
      <c r="N13" s="616"/>
      <c r="O13" s="616"/>
      <c r="P13" s="616"/>
      <c r="Q13" s="449"/>
      <c r="R13" s="449"/>
      <c r="S13" s="449"/>
      <c r="T13" s="449"/>
      <c r="U13" s="449"/>
      <c r="V13" s="449"/>
      <c r="W13" s="449"/>
      <c r="X13" s="449"/>
      <c r="Y13" s="449">
        <f t="shared" si="4"/>
        <v>1094412629</v>
      </c>
      <c r="Z13" s="449">
        <f t="shared" si="3"/>
        <v>1070733761</v>
      </c>
      <c r="AA13" s="449">
        <f t="shared" si="3"/>
        <v>1070733761</v>
      </c>
      <c r="AB13" s="449">
        <f t="shared" si="3"/>
        <v>983971090</v>
      </c>
      <c r="AC13" s="439"/>
    </row>
    <row r="14" spans="1:29" ht="16.5" thickTop="1" thickBot="1" x14ac:dyDescent="0.3">
      <c r="A14" s="444">
        <v>2</v>
      </c>
      <c r="B14" s="445" t="s">
        <v>220</v>
      </c>
      <c r="C14" s="445" t="s">
        <v>305</v>
      </c>
      <c r="D14" s="445" t="s">
        <v>220</v>
      </c>
      <c r="E14" s="445" t="s">
        <v>220</v>
      </c>
      <c r="F14" s="445" t="s">
        <v>220</v>
      </c>
      <c r="G14" s="445" t="s">
        <v>231</v>
      </c>
      <c r="H14" s="447" t="s">
        <v>801</v>
      </c>
      <c r="I14" s="616">
        <v>862700000</v>
      </c>
      <c r="J14" s="616">
        <v>191621527</v>
      </c>
      <c r="K14" s="616">
        <v>191621527</v>
      </c>
      <c r="L14" s="616">
        <v>177129323</v>
      </c>
      <c r="M14" s="616"/>
      <c r="N14" s="616"/>
      <c r="O14" s="616"/>
      <c r="P14" s="616"/>
      <c r="Q14" s="449"/>
      <c r="R14" s="449"/>
      <c r="S14" s="449"/>
      <c r="T14" s="449"/>
      <c r="U14" s="449"/>
      <c r="V14" s="449"/>
      <c r="W14" s="449"/>
      <c r="X14" s="449"/>
      <c r="Y14" s="449">
        <f t="shared" si="4"/>
        <v>862700000</v>
      </c>
      <c r="Z14" s="449">
        <f t="shared" si="3"/>
        <v>191621527</v>
      </c>
      <c r="AA14" s="449">
        <f t="shared" si="3"/>
        <v>191621527</v>
      </c>
      <c r="AB14" s="449">
        <f t="shared" si="3"/>
        <v>177129323</v>
      </c>
      <c r="AC14" s="439"/>
    </row>
    <row r="15" spans="1:29" ht="16.5" thickTop="1" thickBot="1" x14ac:dyDescent="0.3">
      <c r="A15" s="444">
        <v>2</v>
      </c>
      <c r="B15" s="445" t="s">
        <v>220</v>
      </c>
      <c r="C15" s="445" t="s">
        <v>305</v>
      </c>
      <c r="D15" s="445" t="s">
        <v>220</v>
      </c>
      <c r="E15" s="445" t="s">
        <v>231</v>
      </c>
      <c r="F15" s="446"/>
      <c r="G15" s="446"/>
      <c r="H15" s="459" t="s">
        <v>802</v>
      </c>
      <c r="I15" s="616">
        <f>+I16</f>
        <v>40000000</v>
      </c>
      <c r="J15" s="616">
        <f t="shared" ref="J15:X15" si="11">+J16</f>
        <v>38731899</v>
      </c>
      <c r="K15" s="616">
        <f t="shared" si="11"/>
        <v>38731899</v>
      </c>
      <c r="L15" s="616">
        <f t="shared" si="11"/>
        <v>38731899</v>
      </c>
      <c r="M15" s="616">
        <f t="shared" si="11"/>
        <v>0</v>
      </c>
      <c r="N15" s="616">
        <f t="shared" si="11"/>
        <v>0</v>
      </c>
      <c r="O15" s="616">
        <f t="shared" si="11"/>
        <v>0</v>
      </c>
      <c r="P15" s="616">
        <f t="shared" si="11"/>
        <v>0</v>
      </c>
      <c r="Q15" s="449">
        <f t="shared" si="11"/>
        <v>0</v>
      </c>
      <c r="R15" s="449">
        <f t="shared" si="11"/>
        <v>0</v>
      </c>
      <c r="S15" s="449">
        <f t="shared" si="11"/>
        <v>0</v>
      </c>
      <c r="T15" s="449">
        <f t="shared" si="11"/>
        <v>0</v>
      </c>
      <c r="U15" s="449">
        <f t="shared" si="11"/>
        <v>0</v>
      </c>
      <c r="V15" s="449">
        <f t="shared" si="11"/>
        <v>0</v>
      </c>
      <c r="W15" s="449">
        <f t="shared" si="11"/>
        <v>0</v>
      </c>
      <c r="X15" s="449">
        <f t="shared" si="11"/>
        <v>0</v>
      </c>
      <c r="Y15" s="449">
        <f t="shared" si="4"/>
        <v>40000000</v>
      </c>
      <c r="Z15" s="449">
        <f t="shared" si="3"/>
        <v>38731899</v>
      </c>
      <c r="AA15" s="449">
        <f t="shared" si="3"/>
        <v>38731899</v>
      </c>
      <c r="AB15" s="449">
        <f t="shared" si="3"/>
        <v>38731899</v>
      </c>
      <c r="AC15" s="439"/>
    </row>
    <row r="16" spans="1:29" ht="16.5" thickTop="1" thickBot="1" x14ac:dyDescent="0.3">
      <c r="A16" s="444">
        <v>2</v>
      </c>
      <c r="B16" s="445" t="s">
        <v>220</v>
      </c>
      <c r="C16" s="445" t="s">
        <v>305</v>
      </c>
      <c r="D16" s="445" t="s">
        <v>220</v>
      </c>
      <c r="E16" s="445" t="s">
        <v>231</v>
      </c>
      <c r="F16" s="445" t="s">
        <v>220</v>
      </c>
      <c r="G16" s="445"/>
      <c r="H16" s="447" t="s">
        <v>803</v>
      </c>
      <c r="I16" s="616">
        <v>40000000</v>
      </c>
      <c r="J16" s="616">
        <v>38731899</v>
      </c>
      <c r="K16" s="616">
        <v>38731899</v>
      </c>
      <c r="L16" s="616">
        <v>38731899</v>
      </c>
      <c r="M16" s="616"/>
      <c r="N16" s="616"/>
      <c r="O16" s="616"/>
      <c r="P16" s="616"/>
      <c r="Q16" s="449"/>
      <c r="R16" s="449"/>
      <c r="S16" s="449"/>
      <c r="T16" s="449"/>
      <c r="U16" s="449"/>
      <c r="V16" s="449"/>
      <c r="W16" s="449"/>
      <c r="X16" s="449"/>
      <c r="Y16" s="449">
        <f t="shared" si="4"/>
        <v>40000000</v>
      </c>
      <c r="Z16" s="449">
        <f t="shared" si="3"/>
        <v>38731899</v>
      </c>
      <c r="AA16" s="449">
        <f t="shared" si="3"/>
        <v>38731899</v>
      </c>
      <c r="AB16" s="449">
        <f t="shared" si="3"/>
        <v>38731899</v>
      </c>
      <c r="AC16" s="439"/>
    </row>
    <row r="17" spans="1:29" s="450" customFormat="1" ht="16.5" thickTop="1" thickBot="1" x14ac:dyDescent="0.3">
      <c r="A17" s="451">
        <v>2</v>
      </c>
      <c r="B17" s="452" t="s">
        <v>220</v>
      </c>
      <c r="C17" s="452" t="s">
        <v>305</v>
      </c>
      <c r="D17" s="452" t="s">
        <v>231</v>
      </c>
      <c r="E17" s="452"/>
      <c r="F17" s="452"/>
      <c r="G17" s="452"/>
      <c r="H17" s="453" t="s">
        <v>804</v>
      </c>
      <c r="I17" s="618">
        <f>+I18</f>
        <v>255801600</v>
      </c>
      <c r="J17" s="618">
        <f t="shared" ref="J17:X17" si="12">+J18</f>
        <v>175278013</v>
      </c>
      <c r="K17" s="618">
        <f t="shared" si="12"/>
        <v>173484748</v>
      </c>
      <c r="L17" s="618">
        <f t="shared" si="12"/>
        <v>78822829</v>
      </c>
      <c r="M17" s="618">
        <f t="shared" si="12"/>
        <v>4198400</v>
      </c>
      <c r="N17" s="618">
        <f t="shared" si="12"/>
        <v>4198400</v>
      </c>
      <c r="O17" s="618">
        <f t="shared" si="12"/>
        <v>4198400</v>
      </c>
      <c r="P17" s="618">
        <f t="shared" si="12"/>
        <v>4198400</v>
      </c>
      <c r="Q17" s="454">
        <f t="shared" si="12"/>
        <v>0</v>
      </c>
      <c r="R17" s="454">
        <f t="shared" si="12"/>
        <v>0</v>
      </c>
      <c r="S17" s="454">
        <f t="shared" si="12"/>
        <v>0</v>
      </c>
      <c r="T17" s="454">
        <f t="shared" si="12"/>
        <v>0</v>
      </c>
      <c r="U17" s="454">
        <f t="shared" si="12"/>
        <v>0</v>
      </c>
      <c r="V17" s="454">
        <f t="shared" si="12"/>
        <v>0</v>
      </c>
      <c r="W17" s="454">
        <f t="shared" si="12"/>
        <v>0</v>
      </c>
      <c r="X17" s="454">
        <f t="shared" si="12"/>
        <v>0</v>
      </c>
      <c r="Y17" s="454">
        <f t="shared" si="4"/>
        <v>260000000</v>
      </c>
      <c r="Z17" s="454">
        <f t="shared" si="3"/>
        <v>179476413</v>
      </c>
      <c r="AA17" s="454">
        <f t="shared" si="3"/>
        <v>177683148</v>
      </c>
      <c r="AB17" s="454">
        <f t="shared" si="3"/>
        <v>83021229</v>
      </c>
      <c r="AC17" s="439"/>
    </row>
    <row r="18" spans="1:29" ht="16.5" thickTop="1" thickBot="1" x14ac:dyDescent="0.3">
      <c r="A18" s="444">
        <v>2</v>
      </c>
      <c r="B18" s="445" t="s">
        <v>220</v>
      </c>
      <c r="C18" s="445" t="s">
        <v>305</v>
      </c>
      <c r="D18" s="445" t="s">
        <v>231</v>
      </c>
      <c r="E18" s="445" t="s">
        <v>220</v>
      </c>
      <c r="F18" s="445"/>
      <c r="G18" s="445"/>
      <c r="H18" s="447" t="s">
        <v>805</v>
      </c>
      <c r="I18" s="616">
        <v>255801600</v>
      </c>
      <c r="J18" s="616">
        <v>175278013</v>
      </c>
      <c r="K18" s="616">
        <v>173484748</v>
      </c>
      <c r="L18" s="616">
        <v>78822829</v>
      </c>
      <c r="M18" s="616">
        <v>4198400</v>
      </c>
      <c r="N18" s="616">
        <v>4198400</v>
      </c>
      <c r="O18" s="616">
        <v>4198400</v>
      </c>
      <c r="P18" s="616">
        <v>4198400</v>
      </c>
      <c r="Q18" s="449">
        <v>0</v>
      </c>
      <c r="R18" s="449">
        <v>0</v>
      </c>
      <c r="S18" s="449">
        <v>0</v>
      </c>
      <c r="T18" s="449">
        <v>0</v>
      </c>
      <c r="U18" s="449">
        <f t="shared" ref="U18:X18" si="13">+U19+U20</f>
        <v>0</v>
      </c>
      <c r="V18" s="449">
        <f t="shared" si="13"/>
        <v>0</v>
      </c>
      <c r="W18" s="449">
        <f t="shared" si="13"/>
        <v>0</v>
      </c>
      <c r="X18" s="449">
        <f t="shared" si="13"/>
        <v>0</v>
      </c>
      <c r="Y18" s="449">
        <f t="shared" si="4"/>
        <v>260000000</v>
      </c>
      <c r="Z18" s="449">
        <f t="shared" si="3"/>
        <v>179476413</v>
      </c>
      <c r="AA18" s="449">
        <f t="shared" si="3"/>
        <v>177683148</v>
      </c>
      <c r="AB18" s="449">
        <f t="shared" si="3"/>
        <v>83021229</v>
      </c>
      <c r="AC18" s="439"/>
    </row>
    <row r="19" spans="1:29" ht="16.5" thickTop="1" thickBot="1" x14ac:dyDescent="0.3">
      <c r="A19" s="444">
        <v>2</v>
      </c>
      <c r="B19" s="445" t="s">
        <v>220</v>
      </c>
      <c r="C19" s="445" t="s">
        <v>305</v>
      </c>
      <c r="D19" s="445" t="s">
        <v>231</v>
      </c>
      <c r="E19" s="445" t="s">
        <v>220</v>
      </c>
      <c r="F19" s="445" t="s">
        <v>220</v>
      </c>
      <c r="G19" s="445"/>
      <c r="H19" s="447" t="s">
        <v>806</v>
      </c>
      <c r="I19" s="616">
        <v>0</v>
      </c>
      <c r="J19" s="616"/>
      <c r="K19" s="616"/>
      <c r="L19" s="616"/>
      <c r="M19" s="616"/>
      <c r="N19" s="616"/>
      <c r="O19" s="616"/>
      <c r="P19" s="616"/>
      <c r="Q19" s="449"/>
      <c r="R19" s="449"/>
      <c r="S19" s="449"/>
      <c r="T19" s="449"/>
      <c r="U19" s="449"/>
      <c r="V19" s="449"/>
      <c r="W19" s="449"/>
      <c r="X19" s="449"/>
      <c r="Y19" s="449">
        <f t="shared" si="4"/>
        <v>0</v>
      </c>
      <c r="Z19" s="449">
        <f t="shared" si="3"/>
        <v>0</v>
      </c>
      <c r="AA19" s="449">
        <f t="shared" si="3"/>
        <v>0</v>
      </c>
      <c r="AB19" s="449">
        <f t="shared" si="3"/>
        <v>0</v>
      </c>
      <c r="AC19" s="439"/>
    </row>
    <row r="20" spans="1:29" ht="16.5" thickTop="1" thickBot="1" x14ac:dyDescent="0.3">
      <c r="A20" s="444">
        <v>2</v>
      </c>
      <c r="B20" s="445" t="s">
        <v>220</v>
      </c>
      <c r="C20" s="445" t="s">
        <v>305</v>
      </c>
      <c r="D20" s="445" t="s">
        <v>231</v>
      </c>
      <c r="E20" s="445" t="s">
        <v>220</v>
      </c>
      <c r="F20" s="445" t="s">
        <v>231</v>
      </c>
      <c r="G20" s="445"/>
      <c r="H20" s="447" t="s">
        <v>807</v>
      </c>
      <c r="I20" s="616">
        <v>0</v>
      </c>
      <c r="J20" s="616"/>
      <c r="K20" s="616"/>
      <c r="L20" s="616"/>
      <c r="M20" s="616"/>
      <c r="N20" s="616"/>
      <c r="O20" s="616"/>
      <c r="P20" s="616"/>
      <c r="Q20" s="449"/>
      <c r="R20" s="449"/>
      <c r="S20" s="449"/>
      <c r="T20" s="449"/>
      <c r="U20" s="449"/>
      <c r="V20" s="449"/>
      <c r="W20" s="449"/>
      <c r="X20" s="449"/>
      <c r="Y20" s="449">
        <f t="shared" si="4"/>
        <v>0</v>
      </c>
      <c r="Z20" s="449">
        <f t="shared" si="4"/>
        <v>0</v>
      </c>
      <c r="AA20" s="449">
        <f t="shared" si="4"/>
        <v>0</v>
      </c>
      <c r="AB20" s="449">
        <f t="shared" si="4"/>
        <v>0</v>
      </c>
      <c r="AC20" s="439"/>
    </row>
    <row r="21" spans="1:29" s="450" customFormat="1" ht="16.5" thickTop="1" thickBot="1" x14ac:dyDescent="0.3">
      <c r="A21" s="451">
        <v>2</v>
      </c>
      <c r="B21" s="452" t="s">
        <v>220</v>
      </c>
      <c r="C21" s="452" t="s">
        <v>305</v>
      </c>
      <c r="D21" s="452" t="s">
        <v>305</v>
      </c>
      <c r="E21" s="452"/>
      <c r="F21" s="452"/>
      <c r="G21" s="452"/>
      <c r="H21" s="453" t="s">
        <v>808</v>
      </c>
      <c r="I21" s="618">
        <f>+I22+I23</f>
        <v>10000000</v>
      </c>
      <c r="J21" s="618">
        <f t="shared" ref="J21:X21" si="14">+J22+J23</f>
        <v>773045</v>
      </c>
      <c r="K21" s="618">
        <f t="shared" si="14"/>
        <v>773045</v>
      </c>
      <c r="L21" s="618">
        <f t="shared" si="14"/>
        <v>773045</v>
      </c>
      <c r="M21" s="618">
        <f t="shared" si="14"/>
        <v>0</v>
      </c>
      <c r="N21" s="618">
        <f t="shared" si="14"/>
        <v>0</v>
      </c>
      <c r="O21" s="618">
        <f t="shared" si="14"/>
        <v>0</v>
      </c>
      <c r="P21" s="618">
        <f t="shared" si="14"/>
        <v>0</v>
      </c>
      <c r="Q21" s="454">
        <f t="shared" si="14"/>
        <v>0</v>
      </c>
      <c r="R21" s="454">
        <f t="shared" si="14"/>
        <v>0</v>
      </c>
      <c r="S21" s="454">
        <f t="shared" si="14"/>
        <v>0</v>
      </c>
      <c r="T21" s="454">
        <f t="shared" si="14"/>
        <v>0</v>
      </c>
      <c r="U21" s="454">
        <f t="shared" si="14"/>
        <v>0</v>
      </c>
      <c r="V21" s="454">
        <f t="shared" si="14"/>
        <v>0</v>
      </c>
      <c r="W21" s="454">
        <f t="shared" si="14"/>
        <v>0</v>
      </c>
      <c r="X21" s="454">
        <f t="shared" si="14"/>
        <v>0</v>
      </c>
      <c r="Y21" s="454">
        <f t="shared" ref="Y21:AB69" si="15">+I21+M21+Q21+U21</f>
        <v>10000000</v>
      </c>
      <c r="Z21" s="454">
        <f t="shared" si="15"/>
        <v>773045</v>
      </c>
      <c r="AA21" s="454">
        <f t="shared" si="15"/>
        <v>773045</v>
      </c>
      <c r="AB21" s="454">
        <f t="shared" si="15"/>
        <v>773045</v>
      </c>
      <c r="AC21" s="439"/>
    </row>
    <row r="22" spans="1:29" ht="16.5" thickTop="1" thickBot="1" x14ac:dyDescent="0.3">
      <c r="A22" s="444">
        <v>2</v>
      </c>
      <c r="B22" s="445" t="s">
        <v>220</v>
      </c>
      <c r="C22" s="445" t="s">
        <v>305</v>
      </c>
      <c r="D22" s="445" t="s">
        <v>305</v>
      </c>
      <c r="E22" s="445" t="s">
        <v>220</v>
      </c>
      <c r="F22" s="445"/>
      <c r="G22" s="445"/>
      <c r="H22" s="447" t="s">
        <v>809</v>
      </c>
      <c r="I22" s="616">
        <v>10000000</v>
      </c>
      <c r="J22" s="616">
        <v>773045</v>
      </c>
      <c r="K22" s="616">
        <v>773045</v>
      </c>
      <c r="L22" s="616">
        <v>773045</v>
      </c>
      <c r="M22" s="616"/>
      <c r="N22" s="616"/>
      <c r="O22" s="616"/>
      <c r="P22" s="616"/>
      <c r="Q22" s="449"/>
      <c r="R22" s="449"/>
      <c r="S22" s="449"/>
      <c r="T22" s="449"/>
      <c r="U22" s="449"/>
      <c r="V22" s="449"/>
      <c r="W22" s="449"/>
      <c r="X22" s="449"/>
      <c r="Y22" s="449">
        <f t="shared" si="15"/>
        <v>10000000</v>
      </c>
      <c r="Z22" s="449">
        <f t="shared" si="15"/>
        <v>773045</v>
      </c>
      <c r="AA22" s="449">
        <f t="shared" si="15"/>
        <v>773045</v>
      </c>
      <c r="AB22" s="449">
        <f t="shared" si="15"/>
        <v>773045</v>
      </c>
      <c r="AC22" s="439"/>
    </row>
    <row r="23" spans="1:29" ht="16.5" thickTop="1" thickBot="1" x14ac:dyDescent="0.3">
      <c r="A23" s="444">
        <v>2</v>
      </c>
      <c r="B23" s="445" t="s">
        <v>220</v>
      </c>
      <c r="C23" s="445" t="s">
        <v>305</v>
      </c>
      <c r="D23" s="445" t="s">
        <v>305</v>
      </c>
      <c r="E23" s="445" t="s">
        <v>231</v>
      </c>
      <c r="F23" s="445"/>
      <c r="G23" s="445"/>
      <c r="H23" s="447" t="s">
        <v>418</v>
      </c>
      <c r="I23" s="616"/>
      <c r="J23" s="616"/>
      <c r="K23" s="616"/>
      <c r="L23" s="616"/>
      <c r="M23" s="616"/>
      <c r="N23" s="616"/>
      <c r="O23" s="616"/>
      <c r="P23" s="616"/>
      <c r="Q23" s="449"/>
      <c r="R23" s="449"/>
      <c r="S23" s="449"/>
      <c r="T23" s="449"/>
      <c r="U23" s="449"/>
      <c r="V23" s="449"/>
      <c r="W23" s="449"/>
      <c r="X23" s="449"/>
      <c r="Y23" s="449">
        <f t="shared" si="15"/>
        <v>0</v>
      </c>
      <c r="Z23" s="449">
        <f t="shared" si="15"/>
        <v>0</v>
      </c>
      <c r="AA23" s="449">
        <f t="shared" si="15"/>
        <v>0</v>
      </c>
      <c r="AB23" s="449">
        <f t="shared" si="15"/>
        <v>0</v>
      </c>
      <c r="AC23" s="439"/>
    </row>
    <row r="24" spans="1:29" ht="16.5" thickTop="1" thickBot="1" x14ac:dyDescent="0.3">
      <c r="A24" s="443">
        <v>2</v>
      </c>
      <c r="B24" s="440" t="s">
        <v>220</v>
      </c>
      <c r="C24" s="440" t="s">
        <v>313</v>
      </c>
      <c r="D24" s="440"/>
      <c r="E24" s="440"/>
      <c r="F24" s="440"/>
      <c r="G24" s="440"/>
      <c r="H24" s="441" t="s">
        <v>810</v>
      </c>
      <c r="I24" s="614">
        <f t="shared" ref="I24:X24" si="16">+I25+I29+I31+I33</f>
        <v>242208000</v>
      </c>
      <c r="J24" s="614">
        <f t="shared" si="16"/>
        <v>225159347</v>
      </c>
      <c r="K24" s="614">
        <f t="shared" si="16"/>
        <v>225159347</v>
      </c>
      <c r="L24" s="614">
        <f t="shared" si="16"/>
        <v>225159347</v>
      </c>
      <c r="M24" s="614">
        <f t="shared" si="16"/>
        <v>19364000</v>
      </c>
      <c r="N24" s="614">
        <f t="shared" si="16"/>
        <v>19364000</v>
      </c>
      <c r="O24" s="614">
        <f t="shared" si="16"/>
        <v>19364000</v>
      </c>
      <c r="P24" s="614">
        <f t="shared" si="16"/>
        <v>19364000</v>
      </c>
      <c r="Q24" s="442">
        <f t="shared" si="16"/>
        <v>0</v>
      </c>
      <c r="R24" s="442">
        <f t="shared" si="16"/>
        <v>0</v>
      </c>
      <c r="S24" s="442">
        <f t="shared" si="16"/>
        <v>0</v>
      </c>
      <c r="T24" s="442">
        <f t="shared" si="16"/>
        <v>0</v>
      </c>
      <c r="U24" s="442">
        <f t="shared" si="16"/>
        <v>0</v>
      </c>
      <c r="V24" s="442">
        <f t="shared" si="16"/>
        <v>0</v>
      </c>
      <c r="W24" s="442">
        <f t="shared" si="16"/>
        <v>0</v>
      </c>
      <c r="X24" s="442">
        <f t="shared" si="16"/>
        <v>0</v>
      </c>
      <c r="Y24" s="442">
        <f t="shared" si="15"/>
        <v>261572000</v>
      </c>
      <c r="Z24" s="442">
        <f t="shared" si="15"/>
        <v>244523347</v>
      </c>
      <c r="AA24" s="442">
        <f t="shared" si="15"/>
        <v>244523347</v>
      </c>
      <c r="AB24" s="442">
        <f t="shared" si="15"/>
        <v>244523347</v>
      </c>
      <c r="AC24" s="439"/>
    </row>
    <row r="25" spans="1:29" s="450" customFormat="1" ht="16.5" thickTop="1" thickBot="1" x14ac:dyDescent="0.3">
      <c r="A25" s="451">
        <v>2</v>
      </c>
      <c r="B25" s="452" t="s">
        <v>220</v>
      </c>
      <c r="C25" s="452" t="s">
        <v>313</v>
      </c>
      <c r="D25" s="452" t="s">
        <v>220</v>
      </c>
      <c r="E25" s="452"/>
      <c r="F25" s="452"/>
      <c r="G25" s="452"/>
      <c r="H25" s="453" t="s">
        <v>811</v>
      </c>
      <c r="I25" s="618">
        <f>+I26</f>
        <v>90000000</v>
      </c>
      <c r="J25" s="618">
        <f t="shared" ref="J25:X25" si="17">+J26</f>
        <v>72951709</v>
      </c>
      <c r="K25" s="618">
        <f t="shared" si="17"/>
        <v>72951709</v>
      </c>
      <c r="L25" s="618">
        <f t="shared" si="17"/>
        <v>72951709</v>
      </c>
      <c r="M25" s="618">
        <f t="shared" si="17"/>
        <v>1545000</v>
      </c>
      <c r="N25" s="618">
        <f t="shared" si="17"/>
        <v>1545000</v>
      </c>
      <c r="O25" s="618">
        <f t="shared" si="17"/>
        <v>1545000</v>
      </c>
      <c r="P25" s="618">
        <f t="shared" si="17"/>
        <v>1545000</v>
      </c>
      <c r="Q25" s="454">
        <f t="shared" si="17"/>
        <v>0</v>
      </c>
      <c r="R25" s="454">
        <f t="shared" si="17"/>
        <v>0</v>
      </c>
      <c r="S25" s="454">
        <f t="shared" si="17"/>
        <v>0</v>
      </c>
      <c r="T25" s="454">
        <f t="shared" si="17"/>
        <v>0</v>
      </c>
      <c r="U25" s="454">
        <f t="shared" si="17"/>
        <v>0</v>
      </c>
      <c r="V25" s="454">
        <f t="shared" si="17"/>
        <v>0</v>
      </c>
      <c r="W25" s="454">
        <f t="shared" si="17"/>
        <v>0</v>
      </c>
      <c r="X25" s="454">
        <f t="shared" si="17"/>
        <v>0</v>
      </c>
      <c r="Y25" s="454">
        <f t="shared" si="15"/>
        <v>91545000</v>
      </c>
      <c r="Z25" s="454">
        <f t="shared" si="15"/>
        <v>74496709</v>
      </c>
      <c r="AA25" s="454">
        <f t="shared" si="15"/>
        <v>74496709</v>
      </c>
      <c r="AB25" s="454">
        <f t="shared" si="15"/>
        <v>74496709</v>
      </c>
      <c r="AC25" s="439"/>
    </row>
    <row r="26" spans="1:29" ht="16.5" thickTop="1" thickBot="1" x14ac:dyDescent="0.3">
      <c r="A26" s="458">
        <v>2</v>
      </c>
      <c r="B26" s="446" t="s">
        <v>220</v>
      </c>
      <c r="C26" s="446" t="s">
        <v>313</v>
      </c>
      <c r="D26" s="446" t="s">
        <v>220</v>
      </c>
      <c r="E26" s="446" t="s">
        <v>220</v>
      </c>
      <c r="F26" s="446"/>
      <c r="G26" s="446"/>
      <c r="H26" s="459" t="s">
        <v>812</v>
      </c>
      <c r="I26" s="620">
        <f>+I27+I28</f>
        <v>90000000</v>
      </c>
      <c r="J26" s="620">
        <f t="shared" ref="J26:X26" si="18">+J27+J28</f>
        <v>72951709</v>
      </c>
      <c r="K26" s="620">
        <f t="shared" si="18"/>
        <v>72951709</v>
      </c>
      <c r="L26" s="620">
        <f t="shared" si="18"/>
        <v>72951709</v>
      </c>
      <c r="M26" s="620">
        <f t="shared" si="18"/>
        <v>1545000</v>
      </c>
      <c r="N26" s="620">
        <f t="shared" si="18"/>
        <v>1545000</v>
      </c>
      <c r="O26" s="620">
        <f t="shared" si="18"/>
        <v>1545000</v>
      </c>
      <c r="P26" s="620">
        <f t="shared" si="18"/>
        <v>1545000</v>
      </c>
      <c r="Q26" s="460">
        <f t="shared" si="18"/>
        <v>0</v>
      </c>
      <c r="R26" s="460">
        <f t="shared" si="18"/>
        <v>0</v>
      </c>
      <c r="S26" s="460">
        <f t="shared" si="18"/>
        <v>0</v>
      </c>
      <c r="T26" s="460">
        <f t="shared" si="18"/>
        <v>0</v>
      </c>
      <c r="U26" s="460">
        <f t="shared" si="18"/>
        <v>0</v>
      </c>
      <c r="V26" s="460">
        <f t="shared" si="18"/>
        <v>0</v>
      </c>
      <c r="W26" s="460">
        <f t="shared" si="18"/>
        <v>0</v>
      </c>
      <c r="X26" s="460">
        <f t="shared" si="18"/>
        <v>0</v>
      </c>
      <c r="Y26" s="460">
        <f t="shared" si="15"/>
        <v>91545000</v>
      </c>
      <c r="Z26" s="460">
        <f t="shared" si="15"/>
        <v>74496709</v>
      </c>
      <c r="AA26" s="460">
        <f t="shared" si="15"/>
        <v>74496709</v>
      </c>
      <c r="AB26" s="460">
        <f t="shared" si="15"/>
        <v>74496709</v>
      </c>
      <c r="AC26" s="439"/>
    </row>
    <row r="27" spans="1:29" s="457" customFormat="1" ht="16.5" thickTop="1" thickBot="1" x14ac:dyDescent="0.3">
      <c r="A27" s="444">
        <v>2</v>
      </c>
      <c r="B27" s="445" t="s">
        <v>220</v>
      </c>
      <c r="C27" s="445" t="s">
        <v>313</v>
      </c>
      <c r="D27" s="445" t="s">
        <v>220</v>
      </c>
      <c r="E27" s="445" t="s">
        <v>220</v>
      </c>
      <c r="F27" s="445" t="s">
        <v>220</v>
      </c>
      <c r="G27" s="445"/>
      <c r="H27" s="447" t="s">
        <v>813</v>
      </c>
      <c r="I27" s="619">
        <v>84000000</v>
      </c>
      <c r="J27" s="619">
        <v>70478057</v>
      </c>
      <c r="K27" s="619">
        <v>70478057</v>
      </c>
      <c r="L27" s="619">
        <v>70478057</v>
      </c>
      <c r="M27" s="619">
        <v>1545000</v>
      </c>
      <c r="N27" s="619">
        <v>1545000</v>
      </c>
      <c r="O27" s="619">
        <v>1545000</v>
      </c>
      <c r="P27" s="619">
        <v>1545000</v>
      </c>
      <c r="Q27" s="456">
        <v>0</v>
      </c>
      <c r="R27" s="456">
        <v>0</v>
      </c>
      <c r="S27" s="456">
        <v>0</v>
      </c>
      <c r="T27" s="456">
        <v>0</v>
      </c>
      <c r="U27" s="456"/>
      <c r="V27" s="456"/>
      <c r="W27" s="456"/>
      <c r="X27" s="456"/>
      <c r="Y27" s="456">
        <f t="shared" si="15"/>
        <v>85545000</v>
      </c>
      <c r="Z27" s="456">
        <f t="shared" si="15"/>
        <v>72023057</v>
      </c>
      <c r="AA27" s="456">
        <f t="shared" si="15"/>
        <v>72023057</v>
      </c>
      <c r="AB27" s="456">
        <f t="shared" si="15"/>
        <v>72023057</v>
      </c>
      <c r="AC27" s="439"/>
    </row>
    <row r="28" spans="1:29" s="457" customFormat="1" ht="16.5" thickTop="1" thickBot="1" x14ac:dyDescent="0.3">
      <c r="A28" s="444">
        <v>2</v>
      </c>
      <c r="B28" s="445" t="s">
        <v>220</v>
      </c>
      <c r="C28" s="445" t="s">
        <v>313</v>
      </c>
      <c r="D28" s="445" t="s">
        <v>220</v>
      </c>
      <c r="E28" s="445" t="s">
        <v>220</v>
      </c>
      <c r="F28" s="445" t="s">
        <v>231</v>
      </c>
      <c r="G28" s="445"/>
      <c r="H28" s="447" t="s">
        <v>814</v>
      </c>
      <c r="I28" s="619">
        <v>6000000</v>
      </c>
      <c r="J28" s="619">
        <v>2473652</v>
      </c>
      <c r="K28" s="619">
        <v>2473652</v>
      </c>
      <c r="L28" s="619">
        <v>2473652</v>
      </c>
      <c r="M28" s="619">
        <v>0</v>
      </c>
      <c r="N28" s="619"/>
      <c r="O28" s="619"/>
      <c r="P28" s="619"/>
      <c r="Q28" s="456">
        <v>0</v>
      </c>
      <c r="R28" s="456"/>
      <c r="S28" s="456"/>
      <c r="T28" s="456"/>
      <c r="U28" s="456"/>
      <c r="V28" s="456"/>
      <c r="W28" s="456"/>
      <c r="X28" s="456"/>
      <c r="Y28" s="456">
        <f t="shared" si="15"/>
        <v>6000000</v>
      </c>
      <c r="Z28" s="456">
        <f t="shared" si="15"/>
        <v>2473652</v>
      </c>
      <c r="AA28" s="456">
        <f t="shared" si="15"/>
        <v>2473652</v>
      </c>
      <c r="AB28" s="456">
        <f t="shared" si="15"/>
        <v>2473652</v>
      </c>
      <c r="AC28" s="439"/>
    </row>
    <row r="29" spans="1:29" s="450" customFormat="1" ht="16.5" thickTop="1" thickBot="1" x14ac:dyDescent="0.3">
      <c r="A29" s="451">
        <v>2</v>
      </c>
      <c r="B29" s="452" t="s">
        <v>220</v>
      </c>
      <c r="C29" s="452" t="s">
        <v>313</v>
      </c>
      <c r="D29" s="452" t="s">
        <v>231</v>
      </c>
      <c r="E29" s="452"/>
      <c r="F29" s="452"/>
      <c r="G29" s="452"/>
      <c r="H29" s="453" t="s">
        <v>815</v>
      </c>
      <c r="I29" s="618">
        <f>+I30</f>
        <v>0</v>
      </c>
      <c r="J29" s="618">
        <f t="shared" ref="J29:X29" si="19">+J30</f>
        <v>0</v>
      </c>
      <c r="K29" s="618">
        <f t="shared" si="19"/>
        <v>0</v>
      </c>
      <c r="L29" s="618">
        <f t="shared" si="19"/>
        <v>0</v>
      </c>
      <c r="M29" s="618">
        <f t="shared" si="19"/>
        <v>0</v>
      </c>
      <c r="N29" s="618">
        <f t="shared" si="19"/>
        <v>0</v>
      </c>
      <c r="O29" s="618">
        <f t="shared" si="19"/>
        <v>0</v>
      </c>
      <c r="P29" s="618">
        <f t="shared" si="19"/>
        <v>0</v>
      </c>
      <c r="Q29" s="454">
        <f t="shared" si="19"/>
        <v>0</v>
      </c>
      <c r="R29" s="454">
        <f t="shared" si="19"/>
        <v>0</v>
      </c>
      <c r="S29" s="454">
        <f t="shared" si="19"/>
        <v>0</v>
      </c>
      <c r="T29" s="454">
        <f t="shared" si="19"/>
        <v>0</v>
      </c>
      <c r="U29" s="454">
        <f t="shared" si="19"/>
        <v>0</v>
      </c>
      <c r="V29" s="454">
        <f t="shared" si="19"/>
        <v>0</v>
      </c>
      <c r="W29" s="454">
        <f t="shared" si="19"/>
        <v>0</v>
      </c>
      <c r="X29" s="454">
        <f t="shared" si="19"/>
        <v>0</v>
      </c>
      <c r="Y29" s="454">
        <f t="shared" si="15"/>
        <v>0</v>
      </c>
      <c r="Z29" s="454">
        <f t="shared" si="15"/>
        <v>0</v>
      </c>
      <c r="AA29" s="454">
        <f t="shared" si="15"/>
        <v>0</v>
      </c>
      <c r="AB29" s="454">
        <f t="shared" si="15"/>
        <v>0</v>
      </c>
      <c r="AC29" s="439"/>
    </row>
    <row r="30" spans="1:29" s="457" customFormat="1" ht="16.5" thickTop="1" thickBot="1" x14ac:dyDescent="0.3">
      <c r="A30" s="444">
        <v>2</v>
      </c>
      <c r="B30" s="445" t="s">
        <v>220</v>
      </c>
      <c r="C30" s="445" t="s">
        <v>313</v>
      </c>
      <c r="D30" s="445" t="s">
        <v>231</v>
      </c>
      <c r="E30" s="445" t="s">
        <v>220</v>
      </c>
      <c r="F30" s="445"/>
      <c r="G30" s="445"/>
      <c r="H30" s="447" t="s">
        <v>816</v>
      </c>
      <c r="I30" s="619">
        <v>0</v>
      </c>
      <c r="J30" s="619"/>
      <c r="K30" s="619"/>
      <c r="L30" s="619"/>
      <c r="M30" s="619"/>
      <c r="N30" s="619"/>
      <c r="O30" s="619"/>
      <c r="P30" s="619"/>
      <c r="Q30" s="456"/>
      <c r="R30" s="456"/>
      <c r="S30" s="456"/>
      <c r="T30" s="456"/>
      <c r="U30" s="456"/>
      <c r="V30" s="456"/>
      <c r="W30" s="456"/>
      <c r="X30" s="456"/>
      <c r="Y30" s="456">
        <f t="shared" si="15"/>
        <v>0</v>
      </c>
      <c r="Z30" s="456">
        <f t="shared" si="15"/>
        <v>0</v>
      </c>
      <c r="AA30" s="456">
        <f t="shared" si="15"/>
        <v>0</v>
      </c>
      <c r="AB30" s="456">
        <f t="shared" si="15"/>
        <v>0</v>
      </c>
      <c r="AC30" s="439"/>
    </row>
    <row r="31" spans="1:29" s="450" customFormat="1" ht="16.5" thickTop="1" thickBot="1" x14ac:dyDescent="0.3">
      <c r="A31" s="451">
        <v>2</v>
      </c>
      <c r="B31" s="452" t="s">
        <v>220</v>
      </c>
      <c r="C31" s="452" t="s">
        <v>313</v>
      </c>
      <c r="D31" s="452" t="s">
        <v>305</v>
      </c>
      <c r="E31" s="452"/>
      <c r="F31" s="452"/>
      <c r="G31" s="452"/>
      <c r="H31" s="453" t="s">
        <v>817</v>
      </c>
      <c r="I31" s="618">
        <f>+I32</f>
        <v>152208000</v>
      </c>
      <c r="J31" s="618">
        <f t="shared" ref="J31:X31" si="20">+J32</f>
        <v>152207638</v>
      </c>
      <c r="K31" s="618">
        <f t="shared" si="20"/>
        <v>152207638</v>
      </c>
      <c r="L31" s="618">
        <f t="shared" si="20"/>
        <v>152207638</v>
      </c>
      <c r="M31" s="618">
        <f t="shared" si="20"/>
        <v>17819000</v>
      </c>
      <c r="N31" s="618">
        <f t="shared" si="20"/>
        <v>17819000</v>
      </c>
      <c r="O31" s="618">
        <f t="shared" si="20"/>
        <v>17819000</v>
      </c>
      <c r="P31" s="618">
        <f t="shared" si="20"/>
        <v>17819000</v>
      </c>
      <c r="Q31" s="454">
        <f t="shared" si="20"/>
        <v>0</v>
      </c>
      <c r="R31" s="454">
        <f t="shared" si="20"/>
        <v>0</v>
      </c>
      <c r="S31" s="454">
        <f t="shared" si="20"/>
        <v>0</v>
      </c>
      <c r="T31" s="454">
        <f t="shared" si="20"/>
        <v>0</v>
      </c>
      <c r="U31" s="454">
        <f t="shared" si="20"/>
        <v>0</v>
      </c>
      <c r="V31" s="454">
        <f t="shared" si="20"/>
        <v>0</v>
      </c>
      <c r="W31" s="454">
        <f t="shared" si="20"/>
        <v>0</v>
      </c>
      <c r="X31" s="454">
        <f t="shared" si="20"/>
        <v>0</v>
      </c>
      <c r="Y31" s="454">
        <f t="shared" si="15"/>
        <v>170027000</v>
      </c>
      <c r="Z31" s="454">
        <f t="shared" si="15"/>
        <v>170026638</v>
      </c>
      <c r="AA31" s="454">
        <f t="shared" si="15"/>
        <v>170026638</v>
      </c>
      <c r="AB31" s="454">
        <f t="shared" si="15"/>
        <v>170026638</v>
      </c>
      <c r="AC31" s="439"/>
    </row>
    <row r="32" spans="1:29" s="457" customFormat="1" ht="16.5" thickTop="1" thickBot="1" x14ac:dyDescent="0.3">
      <c r="A32" s="444">
        <v>2</v>
      </c>
      <c r="B32" s="445" t="s">
        <v>220</v>
      </c>
      <c r="C32" s="445" t="s">
        <v>313</v>
      </c>
      <c r="D32" s="445" t="s">
        <v>305</v>
      </c>
      <c r="E32" s="445" t="s">
        <v>220</v>
      </c>
      <c r="F32" s="445"/>
      <c r="G32" s="445"/>
      <c r="H32" s="447" t="s">
        <v>818</v>
      </c>
      <c r="I32" s="616">
        <v>152208000</v>
      </c>
      <c r="J32" s="616">
        <v>152207638</v>
      </c>
      <c r="K32" s="616">
        <v>152207638</v>
      </c>
      <c r="L32" s="616">
        <v>152207638</v>
      </c>
      <c r="M32" s="616">
        <v>17819000</v>
      </c>
      <c r="N32" s="616">
        <v>17819000</v>
      </c>
      <c r="O32" s="616">
        <v>17819000</v>
      </c>
      <c r="P32" s="616">
        <v>17819000</v>
      </c>
      <c r="Q32" s="449">
        <v>0</v>
      </c>
      <c r="R32" s="449">
        <v>0</v>
      </c>
      <c r="S32" s="449">
        <v>0</v>
      </c>
      <c r="T32" s="449">
        <v>0</v>
      </c>
      <c r="U32" s="449"/>
      <c r="V32" s="449"/>
      <c r="W32" s="449"/>
      <c r="X32" s="449"/>
      <c r="Y32" s="449">
        <f t="shared" si="15"/>
        <v>170027000</v>
      </c>
      <c r="Z32" s="449">
        <f t="shared" si="15"/>
        <v>170026638</v>
      </c>
      <c r="AA32" s="449">
        <f t="shared" si="15"/>
        <v>170026638</v>
      </c>
      <c r="AB32" s="449">
        <f t="shared" si="15"/>
        <v>170026638</v>
      </c>
      <c r="AC32" s="439"/>
    </row>
    <row r="33" spans="1:29" ht="16.5" thickTop="1" thickBot="1" x14ac:dyDescent="0.3">
      <c r="A33" s="461">
        <v>2</v>
      </c>
      <c r="B33" s="462" t="s">
        <v>220</v>
      </c>
      <c r="C33" s="452" t="s">
        <v>313</v>
      </c>
      <c r="D33" s="452" t="s">
        <v>313</v>
      </c>
      <c r="E33" s="461"/>
      <c r="F33" s="461"/>
      <c r="G33" s="461"/>
      <c r="H33" s="453" t="s">
        <v>306</v>
      </c>
      <c r="I33" s="621">
        <f>+I34+I35+I36</f>
        <v>0</v>
      </c>
      <c r="J33" s="621">
        <f t="shared" ref="J33:X33" si="21">+J34+J35+J36</f>
        <v>0</v>
      </c>
      <c r="K33" s="621">
        <f t="shared" si="21"/>
        <v>0</v>
      </c>
      <c r="L33" s="621">
        <f t="shared" si="21"/>
        <v>0</v>
      </c>
      <c r="M33" s="621">
        <f t="shared" si="21"/>
        <v>0</v>
      </c>
      <c r="N33" s="621">
        <f t="shared" si="21"/>
        <v>0</v>
      </c>
      <c r="O33" s="621">
        <f t="shared" si="21"/>
        <v>0</v>
      </c>
      <c r="P33" s="621">
        <f t="shared" si="21"/>
        <v>0</v>
      </c>
      <c r="Q33" s="464">
        <f>+Q34+Q35+Q36</f>
        <v>0</v>
      </c>
      <c r="R33" s="464">
        <f t="shared" si="21"/>
        <v>0</v>
      </c>
      <c r="S33" s="464">
        <f t="shared" si="21"/>
        <v>0</v>
      </c>
      <c r="T33" s="464">
        <f t="shared" si="21"/>
        <v>0</v>
      </c>
      <c r="U33" s="464">
        <f t="shared" si="21"/>
        <v>0</v>
      </c>
      <c r="V33" s="464">
        <f t="shared" si="21"/>
        <v>0</v>
      </c>
      <c r="W33" s="464">
        <f t="shared" si="21"/>
        <v>0</v>
      </c>
      <c r="X33" s="464">
        <f t="shared" si="21"/>
        <v>0</v>
      </c>
      <c r="Y33" s="464">
        <f t="shared" si="15"/>
        <v>0</v>
      </c>
      <c r="Z33" s="464">
        <f t="shared" si="15"/>
        <v>0</v>
      </c>
      <c r="AA33" s="464">
        <f t="shared" si="15"/>
        <v>0</v>
      </c>
      <c r="AB33" s="464">
        <f t="shared" si="15"/>
        <v>0</v>
      </c>
      <c r="AC33" s="439"/>
    </row>
    <row r="34" spans="1:29" s="457" customFormat="1" ht="16.5" thickTop="1" thickBot="1" x14ac:dyDescent="0.3">
      <c r="A34" s="444">
        <v>2</v>
      </c>
      <c r="B34" s="445" t="s">
        <v>220</v>
      </c>
      <c r="C34" s="445" t="s">
        <v>313</v>
      </c>
      <c r="D34" s="445" t="s">
        <v>313</v>
      </c>
      <c r="E34" s="445" t="s">
        <v>220</v>
      </c>
      <c r="F34" s="445"/>
      <c r="G34" s="445"/>
      <c r="H34" s="447" t="s">
        <v>819</v>
      </c>
      <c r="I34" s="616"/>
      <c r="J34" s="616"/>
      <c r="K34" s="616"/>
      <c r="L34" s="616"/>
      <c r="M34" s="616"/>
      <c r="N34" s="616"/>
      <c r="O34" s="616"/>
      <c r="P34" s="616"/>
      <c r="Q34" s="449"/>
      <c r="R34" s="449"/>
      <c r="S34" s="449"/>
      <c r="T34" s="449"/>
      <c r="U34" s="449"/>
      <c r="V34" s="449"/>
      <c r="W34" s="449"/>
      <c r="X34" s="449"/>
      <c r="Y34" s="449">
        <f t="shared" si="15"/>
        <v>0</v>
      </c>
      <c r="Z34" s="449">
        <f t="shared" si="15"/>
        <v>0</v>
      </c>
      <c r="AA34" s="449">
        <f t="shared" si="15"/>
        <v>0</v>
      </c>
      <c r="AB34" s="449">
        <f t="shared" si="15"/>
        <v>0</v>
      </c>
      <c r="AC34" s="439"/>
    </row>
    <row r="35" spans="1:29" s="457" customFormat="1" ht="16.5" thickTop="1" thickBot="1" x14ac:dyDescent="0.3">
      <c r="A35" s="444">
        <v>2</v>
      </c>
      <c r="B35" s="445" t="s">
        <v>220</v>
      </c>
      <c r="C35" s="445" t="s">
        <v>313</v>
      </c>
      <c r="D35" s="445" t="s">
        <v>313</v>
      </c>
      <c r="E35" s="445" t="s">
        <v>231</v>
      </c>
      <c r="F35" s="445"/>
      <c r="G35" s="445"/>
      <c r="H35" s="447" t="s">
        <v>820</v>
      </c>
      <c r="I35" s="616"/>
      <c r="J35" s="616"/>
      <c r="K35" s="616"/>
      <c r="L35" s="616"/>
      <c r="M35" s="616"/>
      <c r="N35" s="616"/>
      <c r="O35" s="616"/>
      <c r="P35" s="616"/>
      <c r="Q35" s="449"/>
      <c r="R35" s="449"/>
      <c r="S35" s="449"/>
      <c r="T35" s="449"/>
      <c r="U35" s="449"/>
      <c r="V35" s="449"/>
      <c r="W35" s="449"/>
      <c r="X35" s="449"/>
      <c r="Y35" s="449">
        <f t="shared" si="15"/>
        <v>0</v>
      </c>
      <c r="Z35" s="449">
        <f t="shared" si="15"/>
        <v>0</v>
      </c>
      <c r="AA35" s="449">
        <f t="shared" si="15"/>
        <v>0</v>
      </c>
      <c r="AB35" s="449">
        <f t="shared" si="15"/>
        <v>0</v>
      </c>
      <c r="AC35" s="439"/>
    </row>
    <row r="36" spans="1:29" s="457" customFormat="1" ht="16.5" thickTop="1" thickBot="1" x14ac:dyDescent="0.3">
      <c r="A36" s="444">
        <v>2</v>
      </c>
      <c r="B36" s="445" t="s">
        <v>220</v>
      </c>
      <c r="C36" s="445" t="s">
        <v>313</v>
      </c>
      <c r="D36" s="445" t="s">
        <v>313</v>
      </c>
      <c r="E36" s="445" t="s">
        <v>305</v>
      </c>
      <c r="F36" s="445"/>
      <c r="G36" s="445"/>
      <c r="H36" s="447" t="s">
        <v>333</v>
      </c>
      <c r="I36" s="616"/>
      <c r="J36" s="616"/>
      <c r="K36" s="616"/>
      <c r="L36" s="616"/>
      <c r="M36" s="616"/>
      <c r="N36" s="616"/>
      <c r="O36" s="616"/>
      <c r="P36" s="616"/>
      <c r="Q36" s="449"/>
      <c r="R36" s="449"/>
      <c r="S36" s="449"/>
      <c r="T36" s="449"/>
      <c r="U36" s="449"/>
      <c r="V36" s="449"/>
      <c r="W36" s="449"/>
      <c r="X36" s="449"/>
      <c r="Y36" s="449">
        <f t="shared" si="15"/>
        <v>0</v>
      </c>
      <c r="Z36" s="449">
        <f t="shared" si="15"/>
        <v>0</v>
      </c>
      <c r="AA36" s="449">
        <f t="shared" si="15"/>
        <v>0</v>
      </c>
      <c r="AB36" s="449">
        <f t="shared" si="15"/>
        <v>0</v>
      </c>
      <c r="AC36" s="439"/>
    </row>
    <row r="37" spans="1:29" ht="16.5" thickTop="1" thickBot="1" x14ac:dyDescent="0.3">
      <c r="A37" s="443">
        <v>2</v>
      </c>
      <c r="B37" s="440" t="s">
        <v>231</v>
      </c>
      <c r="C37" s="440"/>
      <c r="D37" s="440"/>
      <c r="E37" s="440"/>
      <c r="F37" s="440"/>
      <c r="G37" s="440"/>
      <c r="H37" s="441" t="s">
        <v>821</v>
      </c>
      <c r="I37" s="614">
        <f>+I38+I42</f>
        <v>0</v>
      </c>
      <c r="J37" s="614">
        <f t="shared" ref="J37:X37" si="22">+J38+J42</f>
        <v>0</v>
      </c>
      <c r="K37" s="614">
        <f t="shared" si="22"/>
        <v>0</v>
      </c>
      <c r="L37" s="614">
        <f t="shared" si="22"/>
        <v>0</v>
      </c>
      <c r="M37" s="614">
        <f t="shared" si="22"/>
        <v>0</v>
      </c>
      <c r="N37" s="614">
        <f t="shared" si="22"/>
        <v>0</v>
      </c>
      <c r="O37" s="614">
        <f t="shared" si="22"/>
        <v>0</v>
      </c>
      <c r="P37" s="614">
        <f t="shared" si="22"/>
        <v>0</v>
      </c>
      <c r="Q37" s="465">
        <f t="shared" si="22"/>
        <v>0</v>
      </c>
      <c r="R37" s="465">
        <f t="shared" si="22"/>
        <v>0</v>
      </c>
      <c r="S37" s="465">
        <f t="shared" si="22"/>
        <v>0</v>
      </c>
      <c r="T37" s="465">
        <f t="shared" si="22"/>
        <v>0</v>
      </c>
      <c r="U37" s="465">
        <f t="shared" si="22"/>
        <v>0</v>
      </c>
      <c r="V37" s="465">
        <f t="shared" si="22"/>
        <v>0</v>
      </c>
      <c r="W37" s="465">
        <f t="shared" si="22"/>
        <v>0</v>
      </c>
      <c r="X37" s="465">
        <f t="shared" si="22"/>
        <v>0</v>
      </c>
      <c r="Y37" s="465">
        <f t="shared" si="15"/>
        <v>0</v>
      </c>
      <c r="Z37" s="465">
        <f t="shared" si="15"/>
        <v>0</v>
      </c>
      <c r="AA37" s="465">
        <f t="shared" si="15"/>
        <v>0</v>
      </c>
      <c r="AB37" s="465">
        <f t="shared" si="15"/>
        <v>0</v>
      </c>
      <c r="AC37" s="439"/>
    </row>
    <row r="38" spans="1:29" ht="16.5" thickTop="1" thickBot="1" x14ac:dyDescent="0.3">
      <c r="A38" s="461">
        <v>2</v>
      </c>
      <c r="B38" s="462" t="s">
        <v>231</v>
      </c>
      <c r="C38" s="452" t="s">
        <v>220</v>
      </c>
      <c r="D38" s="451"/>
      <c r="E38" s="452"/>
      <c r="F38" s="452"/>
      <c r="G38" s="452"/>
      <c r="H38" s="453" t="s">
        <v>822</v>
      </c>
      <c r="I38" s="618">
        <f>+I39+I40+I41</f>
        <v>0</v>
      </c>
      <c r="J38" s="618">
        <f t="shared" ref="J38:X38" si="23">+J39+J40+J41</f>
        <v>0</v>
      </c>
      <c r="K38" s="618">
        <f t="shared" si="23"/>
        <v>0</v>
      </c>
      <c r="L38" s="618">
        <f t="shared" si="23"/>
        <v>0</v>
      </c>
      <c r="M38" s="618">
        <f t="shared" si="23"/>
        <v>0</v>
      </c>
      <c r="N38" s="618">
        <f t="shared" si="23"/>
        <v>0</v>
      </c>
      <c r="O38" s="618">
        <f t="shared" si="23"/>
        <v>0</v>
      </c>
      <c r="P38" s="618">
        <f t="shared" si="23"/>
        <v>0</v>
      </c>
      <c r="Q38" s="466">
        <f t="shared" si="23"/>
        <v>0</v>
      </c>
      <c r="R38" s="466">
        <f t="shared" si="23"/>
        <v>0</v>
      </c>
      <c r="S38" s="466">
        <f t="shared" si="23"/>
        <v>0</v>
      </c>
      <c r="T38" s="466">
        <f t="shared" si="23"/>
        <v>0</v>
      </c>
      <c r="U38" s="466">
        <f t="shared" si="23"/>
        <v>0</v>
      </c>
      <c r="V38" s="466">
        <f t="shared" si="23"/>
        <v>0</v>
      </c>
      <c r="W38" s="466">
        <f t="shared" si="23"/>
        <v>0</v>
      </c>
      <c r="X38" s="466">
        <f t="shared" si="23"/>
        <v>0</v>
      </c>
      <c r="Y38" s="466">
        <f t="shared" si="15"/>
        <v>0</v>
      </c>
      <c r="Z38" s="466">
        <f t="shared" si="15"/>
        <v>0</v>
      </c>
      <c r="AA38" s="466">
        <f t="shared" si="15"/>
        <v>0</v>
      </c>
      <c r="AB38" s="466">
        <f t="shared" si="15"/>
        <v>0</v>
      </c>
      <c r="AC38" s="439"/>
    </row>
    <row r="39" spans="1:29" ht="16.5" thickTop="1" thickBot="1" x14ac:dyDescent="0.3">
      <c r="A39" s="444">
        <v>2</v>
      </c>
      <c r="B39" s="445" t="s">
        <v>231</v>
      </c>
      <c r="C39" s="445" t="s">
        <v>220</v>
      </c>
      <c r="D39" s="446" t="s">
        <v>220</v>
      </c>
      <c r="E39" s="444"/>
      <c r="F39" s="444"/>
      <c r="G39" s="444"/>
      <c r="H39" s="447" t="s">
        <v>822</v>
      </c>
      <c r="I39" s="616"/>
      <c r="J39" s="616"/>
      <c r="K39" s="616"/>
      <c r="L39" s="616"/>
      <c r="M39" s="616"/>
      <c r="N39" s="616"/>
      <c r="O39" s="616"/>
      <c r="P39" s="616"/>
      <c r="Q39" s="467"/>
      <c r="R39" s="467"/>
      <c r="S39" s="467"/>
      <c r="T39" s="467"/>
      <c r="U39" s="467"/>
      <c r="V39" s="467"/>
      <c r="W39" s="467"/>
      <c r="X39" s="467"/>
      <c r="Y39" s="467">
        <f t="shared" si="15"/>
        <v>0</v>
      </c>
      <c r="Z39" s="467">
        <f t="shared" si="15"/>
        <v>0</v>
      </c>
      <c r="AA39" s="467">
        <f t="shared" si="15"/>
        <v>0</v>
      </c>
      <c r="AB39" s="467">
        <f t="shared" si="15"/>
        <v>0</v>
      </c>
      <c r="AC39" s="439"/>
    </row>
    <row r="40" spans="1:29" ht="16.5" thickTop="1" thickBot="1" x14ac:dyDescent="0.3">
      <c r="A40" s="444">
        <v>2</v>
      </c>
      <c r="B40" s="445" t="s">
        <v>231</v>
      </c>
      <c r="C40" s="445" t="s">
        <v>220</v>
      </c>
      <c r="D40" s="446" t="s">
        <v>231</v>
      </c>
      <c r="E40" s="444"/>
      <c r="F40" s="444"/>
      <c r="G40" s="444"/>
      <c r="H40" s="447" t="s">
        <v>823</v>
      </c>
      <c r="I40" s="616"/>
      <c r="J40" s="616"/>
      <c r="K40" s="616"/>
      <c r="L40" s="616"/>
      <c r="M40" s="616"/>
      <c r="N40" s="616"/>
      <c r="O40" s="616"/>
      <c r="P40" s="616"/>
      <c r="Q40" s="467"/>
      <c r="R40" s="467"/>
      <c r="S40" s="467"/>
      <c r="T40" s="467"/>
      <c r="U40" s="467"/>
      <c r="V40" s="467"/>
      <c r="W40" s="467"/>
      <c r="X40" s="467"/>
      <c r="Y40" s="467">
        <f t="shared" si="15"/>
        <v>0</v>
      </c>
      <c r="Z40" s="467">
        <f t="shared" si="15"/>
        <v>0</v>
      </c>
      <c r="AA40" s="467">
        <f t="shared" si="15"/>
        <v>0</v>
      </c>
      <c r="AB40" s="467">
        <f t="shared" si="15"/>
        <v>0</v>
      </c>
      <c r="AC40" s="439"/>
    </row>
    <row r="41" spans="1:29" ht="16.5" thickTop="1" thickBot="1" x14ac:dyDescent="0.3">
      <c r="A41" s="444">
        <v>2</v>
      </c>
      <c r="B41" s="445" t="s">
        <v>231</v>
      </c>
      <c r="C41" s="445" t="s">
        <v>220</v>
      </c>
      <c r="D41" s="446" t="s">
        <v>305</v>
      </c>
      <c r="E41" s="444"/>
      <c r="F41" s="444"/>
      <c r="G41" s="444"/>
      <c r="H41" s="447" t="s">
        <v>809</v>
      </c>
      <c r="I41" s="616"/>
      <c r="J41" s="616"/>
      <c r="K41" s="616"/>
      <c r="L41" s="616"/>
      <c r="M41" s="616"/>
      <c r="N41" s="616"/>
      <c r="O41" s="616"/>
      <c r="P41" s="616"/>
      <c r="Q41" s="467"/>
      <c r="R41" s="467"/>
      <c r="S41" s="467"/>
      <c r="T41" s="467"/>
      <c r="U41" s="467"/>
      <c r="V41" s="467"/>
      <c r="W41" s="467"/>
      <c r="X41" s="467"/>
      <c r="Y41" s="467">
        <f t="shared" si="15"/>
        <v>0</v>
      </c>
      <c r="Z41" s="467">
        <f t="shared" si="15"/>
        <v>0</v>
      </c>
      <c r="AA41" s="467">
        <f t="shared" si="15"/>
        <v>0</v>
      </c>
      <c r="AB41" s="467">
        <f t="shared" si="15"/>
        <v>0</v>
      </c>
      <c r="AC41" s="439"/>
    </row>
    <row r="42" spans="1:29" ht="16.5" thickTop="1" thickBot="1" x14ac:dyDescent="0.3">
      <c r="A42" s="461">
        <v>2</v>
      </c>
      <c r="B42" s="462" t="s">
        <v>231</v>
      </c>
      <c r="C42" s="452" t="s">
        <v>231</v>
      </c>
      <c r="D42" s="451"/>
      <c r="E42" s="452"/>
      <c r="F42" s="452"/>
      <c r="G42" s="452"/>
      <c r="H42" s="453" t="s">
        <v>824</v>
      </c>
      <c r="I42" s="618">
        <f>+I43+I44+I45+I46</f>
        <v>0</v>
      </c>
      <c r="J42" s="618">
        <f t="shared" ref="J42:X42" si="24">+J43+J44+J45+J46</f>
        <v>0</v>
      </c>
      <c r="K42" s="618">
        <f t="shared" si="24"/>
        <v>0</v>
      </c>
      <c r="L42" s="618">
        <f t="shared" si="24"/>
        <v>0</v>
      </c>
      <c r="M42" s="618">
        <f t="shared" si="24"/>
        <v>0</v>
      </c>
      <c r="N42" s="618">
        <f t="shared" si="24"/>
        <v>0</v>
      </c>
      <c r="O42" s="618">
        <f t="shared" si="24"/>
        <v>0</v>
      </c>
      <c r="P42" s="618">
        <f t="shared" si="24"/>
        <v>0</v>
      </c>
      <c r="Q42" s="466">
        <f t="shared" si="24"/>
        <v>0</v>
      </c>
      <c r="R42" s="466">
        <f t="shared" si="24"/>
        <v>0</v>
      </c>
      <c r="S42" s="466">
        <f t="shared" si="24"/>
        <v>0</v>
      </c>
      <c r="T42" s="466">
        <f t="shared" si="24"/>
        <v>0</v>
      </c>
      <c r="U42" s="466">
        <f t="shared" si="24"/>
        <v>0</v>
      </c>
      <c r="V42" s="466">
        <f t="shared" si="24"/>
        <v>0</v>
      </c>
      <c r="W42" s="466">
        <f t="shared" si="24"/>
        <v>0</v>
      </c>
      <c r="X42" s="466">
        <f t="shared" si="24"/>
        <v>0</v>
      </c>
      <c r="Y42" s="466">
        <f t="shared" si="15"/>
        <v>0</v>
      </c>
      <c r="Z42" s="466">
        <f t="shared" si="15"/>
        <v>0</v>
      </c>
      <c r="AA42" s="466">
        <f t="shared" si="15"/>
        <v>0</v>
      </c>
      <c r="AB42" s="466">
        <f t="shared" si="15"/>
        <v>0</v>
      </c>
      <c r="AC42" s="439"/>
    </row>
    <row r="43" spans="1:29" ht="16.5" thickTop="1" thickBot="1" x14ac:dyDescent="0.3">
      <c r="A43" s="444">
        <v>2</v>
      </c>
      <c r="B43" s="445" t="s">
        <v>231</v>
      </c>
      <c r="C43" s="445" t="s">
        <v>231</v>
      </c>
      <c r="D43" s="445" t="s">
        <v>220</v>
      </c>
      <c r="E43" s="444"/>
      <c r="F43" s="444"/>
      <c r="G43" s="444"/>
      <c r="H43" s="447" t="s">
        <v>824</v>
      </c>
      <c r="I43" s="616"/>
      <c r="J43" s="616"/>
      <c r="K43" s="616"/>
      <c r="L43" s="616"/>
      <c r="M43" s="616"/>
      <c r="N43" s="616"/>
      <c r="O43" s="616"/>
      <c r="P43" s="616"/>
      <c r="Q43" s="449"/>
      <c r="R43" s="449"/>
      <c r="S43" s="449"/>
      <c r="T43" s="449"/>
      <c r="U43" s="449"/>
      <c r="V43" s="449"/>
      <c r="W43" s="449"/>
      <c r="X43" s="449"/>
      <c r="Y43" s="449">
        <f t="shared" si="15"/>
        <v>0</v>
      </c>
      <c r="Z43" s="449">
        <f t="shared" si="15"/>
        <v>0</v>
      </c>
      <c r="AA43" s="449">
        <f t="shared" si="15"/>
        <v>0</v>
      </c>
      <c r="AB43" s="449">
        <f t="shared" si="15"/>
        <v>0</v>
      </c>
      <c r="AC43" s="439"/>
    </row>
    <row r="44" spans="1:29" ht="16.5" thickTop="1" thickBot="1" x14ac:dyDescent="0.3">
      <c r="A44" s="444">
        <v>2</v>
      </c>
      <c r="B44" s="445" t="s">
        <v>231</v>
      </c>
      <c r="C44" s="445" t="s">
        <v>231</v>
      </c>
      <c r="D44" s="445" t="s">
        <v>231</v>
      </c>
      <c r="E44" s="444"/>
      <c r="F44" s="444"/>
      <c r="G44" s="444"/>
      <c r="H44" s="447" t="s">
        <v>825</v>
      </c>
      <c r="I44" s="616"/>
      <c r="J44" s="616"/>
      <c r="K44" s="616"/>
      <c r="L44" s="616"/>
      <c r="M44" s="616"/>
      <c r="N44" s="616"/>
      <c r="O44" s="616"/>
      <c r="P44" s="616"/>
      <c r="Q44" s="449"/>
      <c r="R44" s="449"/>
      <c r="S44" s="449"/>
      <c r="T44" s="449"/>
      <c r="U44" s="449"/>
      <c r="V44" s="449"/>
      <c r="W44" s="449"/>
      <c r="X44" s="449"/>
      <c r="Y44" s="449">
        <f t="shared" si="15"/>
        <v>0</v>
      </c>
      <c r="Z44" s="449">
        <f t="shared" si="15"/>
        <v>0</v>
      </c>
      <c r="AA44" s="449">
        <f t="shared" si="15"/>
        <v>0</v>
      </c>
      <c r="AB44" s="449">
        <f t="shared" si="15"/>
        <v>0</v>
      </c>
      <c r="AC44" s="439"/>
    </row>
    <row r="45" spans="1:29" ht="16.5" thickTop="1" thickBot="1" x14ac:dyDescent="0.3">
      <c r="A45" s="444">
        <v>2</v>
      </c>
      <c r="B45" s="445" t="s">
        <v>231</v>
      </c>
      <c r="C45" s="445" t="s">
        <v>231</v>
      </c>
      <c r="D45" s="445" t="s">
        <v>305</v>
      </c>
      <c r="E45" s="444"/>
      <c r="F45" s="444"/>
      <c r="G45" s="444"/>
      <c r="H45" s="447" t="s">
        <v>809</v>
      </c>
      <c r="I45" s="616"/>
      <c r="J45" s="616"/>
      <c r="K45" s="616"/>
      <c r="L45" s="616"/>
      <c r="M45" s="616"/>
      <c r="N45" s="616"/>
      <c r="O45" s="616"/>
      <c r="P45" s="616"/>
      <c r="Q45" s="449"/>
      <c r="R45" s="449"/>
      <c r="S45" s="449"/>
      <c r="T45" s="449"/>
      <c r="U45" s="449"/>
      <c r="V45" s="449"/>
      <c r="W45" s="449"/>
      <c r="X45" s="449"/>
      <c r="Y45" s="449">
        <f t="shared" si="15"/>
        <v>0</v>
      </c>
      <c r="Z45" s="449">
        <f t="shared" si="15"/>
        <v>0</v>
      </c>
      <c r="AA45" s="449">
        <f t="shared" si="15"/>
        <v>0</v>
      </c>
      <c r="AB45" s="449">
        <f t="shared" si="15"/>
        <v>0</v>
      </c>
      <c r="AC45" s="439"/>
    </row>
    <row r="46" spans="1:29" ht="16.5" thickTop="1" thickBot="1" x14ac:dyDescent="0.3">
      <c r="A46" s="444">
        <v>2</v>
      </c>
      <c r="B46" s="445" t="s">
        <v>231</v>
      </c>
      <c r="C46" s="445" t="s">
        <v>231</v>
      </c>
      <c r="D46" s="445" t="s">
        <v>313</v>
      </c>
      <c r="E46" s="444"/>
      <c r="F46" s="444"/>
      <c r="G46" s="444"/>
      <c r="H46" s="447" t="s">
        <v>826</v>
      </c>
      <c r="I46" s="619"/>
      <c r="J46" s="619"/>
      <c r="K46" s="619"/>
      <c r="L46" s="619"/>
      <c r="M46" s="619"/>
      <c r="N46" s="619"/>
      <c r="O46" s="619"/>
      <c r="P46" s="619"/>
      <c r="Q46" s="456"/>
      <c r="R46" s="456"/>
      <c r="S46" s="456"/>
      <c r="T46" s="456"/>
      <c r="U46" s="456"/>
      <c r="V46" s="456"/>
      <c r="W46" s="456"/>
      <c r="X46" s="456"/>
      <c r="Y46" s="456">
        <f t="shared" si="15"/>
        <v>0</v>
      </c>
      <c r="Z46" s="456">
        <f t="shared" si="15"/>
        <v>0</v>
      </c>
      <c r="AA46" s="456">
        <f t="shared" si="15"/>
        <v>0</v>
      </c>
      <c r="AB46" s="456">
        <f t="shared" si="15"/>
        <v>0</v>
      </c>
      <c r="AC46" s="439"/>
    </row>
    <row r="47" spans="1:29" ht="16.5" thickTop="1" thickBot="1" x14ac:dyDescent="0.3">
      <c r="A47" s="435">
        <v>2</v>
      </c>
      <c r="B47" s="435" t="s">
        <v>305</v>
      </c>
      <c r="C47" s="435"/>
      <c r="D47" s="435"/>
      <c r="E47" s="435"/>
      <c r="F47" s="435"/>
      <c r="G47" s="435"/>
      <c r="H47" s="436" t="s">
        <v>827</v>
      </c>
      <c r="I47" s="622">
        <f>+I48</f>
        <v>91313078075</v>
      </c>
      <c r="J47" s="612">
        <f>+J48</f>
        <v>70185753842</v>
      </c>
      <c r="K47" s="612">
        <f t="shared" ref="K47:L47" si="25">+K48</f>
        <v>33914325975</v>
      </c>
      <c r="L47" s="612">
        <f t="shared" si="25"/>
        <v>28261098027</v>
      </c>
      <c r="M47" s="612">
        <f t="shared" ref="M47:X47" si="26">+M49+M60</f>
        <v>0</v>
      </c>
      <c r="N47" s="612">
        <f t="shared" si="26"/>
        <v>0</v>
      </c>
      <c r="O47" s="612">
        <f t="shared" si="26"/>
        <v>0</v>
      </c>
      <c r="P47" s="612">
        <f t="shared" si="26"/>
        <v>0</v>
      </c>
      <c r="Q47" s="437">
        <f t="shared" si="26"/>
        <v>0</v>
      </c>
      <c r="R47" s="437">
        <f t="shared" si="26"/>
        <v>0</v>
      </c>
      <c r="S47" s="437">
        <f t="shared" si="26"/>
        <v>0</v>
      </c>
      <c r="T47" s="437">
        <f t="shared" si="26"/>
        <v>0</v>
      </c>
      <c r="U47" s="437">
        <f t="shared" si="26"/>
        <v>0</v>
      </c>
      <c r="V47" s="437">
        <f t="shared" si="26"/>
        <v>0</v>
      </c>
      <c r="W47" s="437">
        <f t="shared" si="26"/>
        <v>0</v>
      </c>
      <c r="X47" s="437">
        <f t="shared" si="26"/>
        <v>0</v>
      </c>
      <c r="Y47" s="668">
        <f t="shared" si="15"/>
        <v>91313078075</v>
      </c>
      <c r="Z47" s="623">
        <f t="shared" si="15"/>
        <v>70185753842</v>
      </c>
      <c r="AA47" s="468">
        <f t="shared" si="15"/>
        <v>33914325975</v>
      </c>
      <c r="AB47" s="468">
        <f t="shared" si="15"/>
        <v>28261098027</v>
      </c>
      <c r="AC47" s="439"/>
    </row>
    <row r="48" spans="1:29" ht="16.5" thickTop="1" thickBot="1" x14ac:dyDescent="0.3">
      <c r="A48" s="469"/>
      <c r="B48" s="440"/>
      <c r="C48" s="440"/>
      <c r="D48" s="440"/>
      <c r="E48" s="469"/>
      <c r="F48" s="469"/>
      <c r="G48" s="469"/>
      <c r="H48" s="441" t="s">
        <v>77</v>
      </c>
      <c r="I48" s="614">
        <f>+I49+I56+I67+I74+I80</f>
        <v>91313078075</v>
      </c>
      <c r="J48" s="622">
        <f>+J49+J56+J67+J74+J80</f>
        <v>70185753842</v>
      </c>
      <c r="K48" s="622">
        <f>+K49+K56+K67++K74+K80</f>
        <v>33914325975</v>
      </c>
      <c r="L48" s="622">
        <f t="shared" ref="L48" si="27">+L49+L56+L67+L74+L80</f>
        <v>28261098027</v>
      </c>
      <c r="M48" s="622">
        <f t="shared" ref="M48:AB48" si="28">+M49+M60</f>
        <v>0</v>
      </c>
      <c r="N48" s="622">
        <f t="shared" si="28"/>
        <v>0</v>
      </c>
      <c r="O48" s="622">
        <f t="shared" si="28"/>
        <v>0</v>
      </c>
      <c r="P48" s="622">
        <f t="shared" si="28"/>
        <v>0</v>
      </c>
      <c r="Q48" s="470">
        <f t="shared" si="28"/>
        <v>0</v>
      </c>
      <c r="R48" s="470">
        <f t="shared" si="28"/>
        <v>0</v>
      </c>
      <c r="S48" s="470">
        <f t="shared" si="28"/>
        <v>0</v>
      </c>
      <c r="T48" s="470">
        <f t="shared" si="28"/>
        <v>0</v>
      </c>
      <c r="U48" s="470">
        <f t="shared" si="28"/>
        <v>0</v>
      </c>
      <c r="V48" s="470">
        <f t="shared" si="28"/>
        <v>0</v>
      </c>
      <c r="W48" s="470">
        <f t="shared" si="28"/>
        <v>0</v>
      </c>
      <c r="X48" s="470">
        <f t="shared" si="28"/>
        <v>0</v>
      </c>
      <c r="Y48" s="470">
        <f t="shared" si="28"/>
        <v>51667413016</v>
      </c>
      <c r="Z48" s="470">
        <f t="shared" si="28"/>
        <v>44460471722</v>
      </c>
      <c r="AA48" s="470">
        <f t="shared" si="28"/>
        <v>14817651082</v>
      </c>
      <c r="AB48" s="470">
        <f t="shared" si="28"/>
        <v>12446917718</v>
      </c>
      <c r="AC48" s="439"/>
    </row>
    <row r="49" spans="1:59" ht="19.5" thickTop="1" thickBot="1" x14ac:dyDescent="0.3">
      <c r="A49" s="469"/>
      <c r="B49" s="440"/>
      <c r="C49" s="440"/>
      <c r="D49" s="513"/>
      <c r="E49" s="514"/>
      <c r="F49" s="514"/>
      <c r="G49" s="514"/>
      <c r="H49" s="624" t="s">
        <v>2179</v>
      </c>
      <c r="I49" s="625">
        <f>+I50</f>
        <v>45397413016</v>
      </c>
      <c r="J49" s="625">
        <f>+J50</f>
        <v>40949686249</v>
      </c>
      <c r="K49" s="625">
        <f>+K50</f>
        <v>13187729751</v>
      </c>
      <c r="L49" s="625">
        <f t="shared" ref="K49:X52" si="29">+L50</f>
        <v>11499262333</v>
      </c>
      <c r="M49" s="626">
        <f t="shared" ref="M49:X49" si="30">+M50+M56</f>
        <v>0</v>
      </c>
      <c r="N49" s="626">
        <f t="shared" si="30"/>
        <v>0</v>
      </c>
      <c r="O49" s="626">
        <f t="shared" si="30"/>
        <v>0</v>
      </c>
      <c r="P49" s="626">
        <f t="shared" si="30"/>
        <v>0</v>
      </c>
      <c r="Q49" s="627">
        <f t="shared" si="30"/>
        <v>0</v>
      </c>
      <c r="R49" s="627">
        <f t="shared" si="30"/>
        <v>0</v>
      </c>
      <c r="S49" s="627">
        <f t="shared" si="30"/>
        <v>0</v>
      </c>
      <c r="T49" s="627">
        <f t="shared" si="30"/>
        <v>0</v>
      </c>
      <c r="U49" s="627">
        <f t="shared" si="30"/>
        <v>0</v>
      </c>
      <c r="V49" s="627">
        <f t="shared" si="30"/>
        <v>0</v>
      </c>
      <c r="W49" s="627">
        <f t="shared" si="30"/>
        <v>0</v>
      </c>
      <c r="X49" s="627">
        <f t="shared" si="30"/>
        <v>0</v>
      </c>
      <c r="Y49" s="628">
        <f>+I49+M49+Q49+U49</f>
        <v>45397413016</v>
      </c>
      <c r="Z49" s="628">
        <f>+J49+N49+R49+V49</f>
        <v>40949686249</v>
      </c>
      <c r="AA49" s="628">
        <f>+K49+O49+S49+W49</f>
        <v>13187729751</v>
      </c>
      <c r="AB49" s="628">
        <f>+L49+P49+T49+X49</f>
        <v>11499262333</v>
      </c>
      <c r="AC49" s="439"/>
    </row>
    <row r="50" spans="1:59" ht="15.75" customHeight="1" thickTop="1" thickBot="1" x14ac:dyDescent="0.3">
      <c r="A50" s="461"/>
      <c r="B50" s="461"/>
      <c r="C50" s="461"/>
      <c r="D50" s="461"/>
      <c r="E50" s="461"/>
      <c r="F50" s="461"/>
      <c r="G50" s="461"/>
      <c r="H50" s="629" t="s">
        <v>2180</v>
      </c>
      <c r="I50" s="618">
        <f>+I51</f>
        <v>45397413016</v>
      </c>
      <c r="J50" s="621">
        <f>+J51</f>
        <v>40949686249</v>
      </c>
      <c r="K50" s="621">
        <f t="shared" si="29"/>
        <v>13187729751</v>
      </c>
      <c r="L50" s="621">
        <f t="shared" si="29"/>
        <v>11499262333</v>
      </c>
      <c r="M50" s="621">
        <f t="shared" si="29"/>
        <v>0</v>
      </c>
      <c r="N50" s="621">
        <f t="shared" si="29"/>
        <v>0</v>
      </c>
      <c r="O50" s="621">
        <f t="shared" si="29"/>
        <v>0</v>
      </c>
      <c r="P50" s="621">
        <f t="shared" si="29"/>
        <v>0</v>
      </c>
      <c r="Q50" s="463">
        <f t="shared" si="29"/>
        <v>0</v>
      </c>
      <c r="R50" s="463">
        <f t="shared" si="29"/>
        <v>0</v>
      </c>
      <c r="S50" s="463">
        <f t="shared" si="29"/>
        <v>0</v>
      </c>
      <c r="T50" s="463">
        <f t="shared" si="29"/>
        <v>0</v>
      </c>
      <c r="U50" s="463">
        <f t="shared" si="29"/>
        <v>0</v>
      </c>
      <c r="V50" s="463">
        <f t="shared" si="29"/>
        <v>0</v>
      </c>
      <c r="W50" s="463">
        <f t="shared" si="29"/>
        <v>0</v>
      </c>
      <c r="X50" s="463">
        <f t="shared" si="29"/>
        <v>0</v>
      </c>
      <c r="Y50" s="464">
        <f t="shared" si="15"/>
        <v>45397413016</v>
      </c>
      <c r="Z50" s="464">
        <f t="shared" si="15"/>
        <v>40949686249</v>
      </c>
      <c r="AA50" s="464">
        <f t="shared" si="15"/>
        <v>13187729751</v>
      </c>
      <c r="AB50" s="464">
        <f t="shared" si="15"/>
        <v>11499262333</v>
      </c>
      <c r="AC50" s="439"/>
    </row>
    <row r="51" spans="1:59" ht="15.75" customHeight="1" thickTop="1" thickBot="1" x14ac:dyDescent="0.3">
      <c r="A51" s="461"/>
      <c r="B51" s="461"/>
      <c r="C51" s="461"/>
      <c r="D51" s="461"/>
      <c r="E51" s="461"/>
      <c r="F51" s="461"/>
      <c r="G51" s="461"/>
      <c r="H51" s="471" t="s">
        <v>2181</v>
      </c>
      <c r="I51" s="621">
        <f>+I52+I53+I54+I55</f>
        <v>45397413016</v>
      </c>
      <c r="J51" s="621">
        <f>+J52+J53+J54+J55</f>
        <v>40949686249</v>
      </c>
      <c r="K51" s="621">
        <f t="shared" ref="K51:L51" si="31">+K52+K53+K54+K55</f>
        <v>13187729751</v>
      </c>
      <c r="L51" s="621">
        <f t="shared" si="31"/>
        <v>11499262333</v>
      </c>
      <c r="M51" s="621">
        <f t="shared" si="29"/>
        <v>0</v>
      </c>
      <c r="N51" s="621">
        <f t="shared" si="29"/>
        <v>0</v>
      </c>
      <c r="O51" s="621">
        <f t="shared" si="29"/>
        <v>0</v>
      </c>
      <c r="P51" s="621">
        <f t="shared" si="29"/>
        <v>0</v>
      </c>
      <c r="Q51" s="463">
        <f t="shared" si="29"/>
        <v>0</v>
      </c>
      <c r="R51" s="463">
        <f t="shared" si="29"/>
        <v>0</v>
      </c>
      <c r="S51" s="463">
        <f t="shared" si="29"/>
        <v>0</v>
      </c>
      <c r="T51" s="463">
        <f t="shared" si="29"/>
        <v>0</v>
      </c>
      <c r="U51" s="463">
        <f t="shared" si="29"/>
        <v>0</v>
      </c>
      <c r="V51" s="463">
        <f t="shared" si="29"/>
        <v>0</v>
      </c>
      <c r="W51" s="463">
        <f t="shared" si="29"/>
        <v>0</v>
      </c>
      <c r="X51" s="463">
        <f t="shared" si="29"/>
        <v>0</v>
      </c>
      <c r="Y51" s="464">
        <f t="shared" si="15"/>
        <v>45397413016</v>
      </c>
      <c r="Z51" s="464">
        <f t="shared" si="15"/>
        <v>40949686249</v>
      </c>
      <c r="AA51" s="464">
        <f t="shared" si="15"/>
        <v>13187729751</v>
      </c>
      <c r="AB51" s="464">
        <f t="shared" si="15"/>
        <v>11499262333</v>
      </c>
      <c r="AC51" s="439"/>
    </row>
    <row r="52" spans="1:59" ht="15.75" customHeight="1" thickTop="1" thickBot="1" x14ac:dyDescent="0.3">
      <c r="A52" s="444"/>
      <c r="B52" s="444"/>
      <c r="C52" s="444"/>
      <c r="D52" s="444"/>
      <c r="E52" s="445"/>
      <c r="F52" s="445"/>
      <c r="G52" s="444"/>
      <c r="H52" s="472" t="s">
        <v>2182</v>
      </c>
      <c r="I52" s="616">
        <f>21967413016+18000000000</f>
        <v>39967413016</v>
      </c>
      <c r="J52" s="616">
        <f>16269105921+20845713709</f>
        <v>37114819630</v>
      </c>
      <c r="K52" s="616">
        <f>8506174714+4346632418</f>
        <v>12852807132</v>
      </c>
      <c r="L52" s="616">
        <f>7840384112+3481300126</f>
        <v>11321684238</v>
      </c>
      <c r="M52" s="616">
        <f t="shared" si="29"/>
        <v>0</v>
      </c>
      <c r="N52" s="616">
        <f t="shared" si="29"/>
        <v>0</v>
      </c>
      <c r="O52" s="616">
        <f t="shared" si="29"/>
        <v>0</v>
      </c>
      <c r="P52" s="616">
        <f t="shared" si="29"/>
        <v>0</v>
      </c>
      <c r="Q52" s="448">
        <f t="shared" si="29"/>
        <v>0</v>
      </c>
      <c r="R52" s="448">
        <f t="shared" si="29"/>
        <v>0</v>
      </c>
      <c r="S52" s="448">
        <f t="shared" si="29"/>
        <v>0</v>
      </c>
      <c r="T52" s="448">
        <f t="shared" si="29"/>
        <v>0</v>
      </c>
      <c r="U52" s="448">
        <f t="shared" si="29"/>
        <v>0</v>
      </c>
      <c r="V52" s="448">
        <f t="shared" si="29"/>
        <v>0</v>
      </c>
      <c r="W52" s="448">
        <f t="shared" si="29"/>
        <v>0</v>
      </c>
      <c r="X52" s="448">
        <f t="shared" si="29"/>
        <v>0</v>
      </c>
      <c r="Y52" s="746">
        <f t="shared" si="15"/>
        <v>39967413016</v>
      </c>
      <c r="Z52" s="449">
        <f t="shared" si="15"/>
        <v>37114819630</v>
      </c>
      <c r="AA52" s="449">
        <f t="shared" si="15"/>
        <v>12852807132</v>
      </c>
      <c r="AB52" s="449">
        <f t="shared" si="15"/>
        <v>11321684238</v>
      </c>
      <c r="AC52" s="439"/>
    </row>
    <row r="53" spans="1:59" ht="15.75" customHeight="1" thickTop="1" thickBot="1" x14ac:dyDescent="0.3">
      <c r="A53" s="444"/>
      <c r="B53" s="444"/>
      <c r="C53" s="444"/>
      <c r="D53" s="444"/>
      <c r="E53" s="445"/>
      <c r="F53" s="445"/>
      <c r="G53" s="445"/>
      <c r="H53" s="472" t="s">
        <v>2183</v>
      </c>
      <c r="I53" s="616">
        <f>2500000000+1000000000</f>
        <v>3500000000</v>
      </c>
      <c r="J53" s="616">
        <f>2499960000+999984000</f>
        <v>3499944000</v>
      </c>
      <c r="K53" s="616">
        <v>0</v>
      </c>
      <c r="L53" s="616">
        <v>0</v>
      </c>
      <c r="M53" s="616"/>
      <c r="N53" s="616"/>
      <c r="O53" s="616"/>
      <c r="P53" s="616"/>
      <c r="Q53" s="448"/>
      <c r="R53" s="448"/>
      <c r="S53" s="448"/>
      <c r="T53" s="448"/>
      <c r="U53" s="448"/>
      <c r="V53" s="448"/>
      <c r="W53" s="448"/>
      <c r="X53" s="448"/>
      <c r="Y53" s="746">
        <f t="shared" si="15"/>
        <v>3500000000</v>
      </c>
      <c r="Z53" s="449">
        <f t="shared" si="15"/>
        <v>3499944000</v>
      </c>
      <c r="AA53" s="449">
        <f t="shared" si="15"/>
        <v>0</v>
      </c>
      <c r="AB53" s="449">
        <f t="shared" si="15"/>
        <v>0</v>
      </c>
      <c r="AC53" s="439"/>
    </row>
    <row r="54" spans="1:59" ht="15.75" customHeight="1" thickTop="1" thickBot="1" x14ac:dyDescent="0.3">
      <c r="A54" s="444"/>
      <c r="B54" s="444"/>
      <c r="C54" s="444"/>
      <c r="D54" s="444"/>
      <c r="E54" s="445"/>
      <c r="F54" s="445"/>
      <c r="G54" s="445"/>
      <c r="H54" s="472" t="s">
        <v>2184</v>
      </c>
      <c r="I54" s="616">
        <f>600000000+800000000</f>
        <v>1400000000</v>
      </c>
      <c r="J54" s="616">
        <v>0</v>
      </c>
      <c r="K54" s="616">
        <v>0</v>
      </c>
      <c r="L54" s="616">
        <v>0</v>
      </c>
      <c r="M54" s="616"/>
      <c r="N54" s="616"/>
      <c r="O54" s="616"/>
      <c r="P54" s="616"/>
      <c r="Q54" s="448"/>
      <c r="R54" s="448"/>
      <c r="S54" s="448"/>
      <c r="T54" s="448"/>
      <c r="U54" s="448"/>
      <c r="V54" s="448"/>
      <c r="W54" s="448"/>
      <c r="X54" s="448"/>
      <c r="Y54" s="449"/>
      <c r="Z54" s="449"/>
      <c r="AA54" s="449"/>
      <c r="AB54" s="449"/>
      <c r="AC54" s="439"/>
    </row>
    <row r="55" spans="1:59" ht="15.75" customHeight="1" thickTop="1" thickBot="1" x14ac:dyDescent="0.3">
      <c r="A55" s="444"/>
      <c r="B55" s="444"/>
      <c r="C55" s="444"/>
      <c r="D55" s="444"/>
      <c r="E55" s="445"/>
      <c r="F55" s="445"/>
      <c r="G55" s="445"/>
      <c r="H55" s="472" t="s">
        <v>2185</v>
      </c>
      <c r="I55" s="616">
        <f>430000000+100000000</f>
        <v>530000000</v>
      </c>
      <c r="J55" s="616">
        <v>334922619</v>
      </c>
      <c r="K55" s="616">
        <v>334922619</v>
      </c>
      <c r="L55" s="616">
        <v>177578095</v>
      </c>
      <c r="M55" s="616"/>
      <c r="N55" s="616"/>
      <c r="O55" s="616"/>
      <c r="P55" s="616"/>
      <c r="Q55" s="448"/>
      <c r="R55" s="448"/>
      <c r="S55" s="448"/>
      <c r="T55" s="448"/>
      <c r="U55" s="448"/>
      <c r="V55" s="448"/>
      <c r="W55" s="448"/>
      <c r="X55" s="448"/>
      <c r="Y55" s="449"/>
      <c r="Z55" s="449"/>
      <c r="AA55" s="449"/>
      <c r="AB55" s="449"/>
      <c r="AC55" s="439"/>
    </row>
    <row r="56" spans="1:59" ht="15.75" customHeight="1" thickTop="1" thickBot="1" x14ac:dyDescent="0.3">
      <c r="A56" s="461"/>
      <c r="B56" s="461"/>
      <c r="C56" s="461"/>
      <c r="D56" s="461"/>
      <c r="E56" s="461"/>
      <c r="F56" s="461"/>
      <c r="G56" s="461"/>
      <c r="H56" s="624" t="s">
        <v>2186</v>
      </c>
      <c r="I56" s="630">
        <f>+I57+I60+I64</f>
        <v>8570000000</v>
      </c>
      <c r="J56" s="630">
        <f>+J57+J60+J64</f>
        <v>5515480411</v>
      </c>
      <c r="K56" s="630">
        <f>+K57+K60+K64</f>
        <v>3465395746</v>
      </c>
      <c r="L56" s="630">
        <f>+L57+L60+L64</f>
        <v>2030750954</v>
      </c>
      <c r="M56" s="631">
        <f t="shared" ref="M56:X56" si="32">+M57</f>
        <v>0</v>
      </c>
      <c r="N56" s="631">
        <f t="shared" si="32"/>
        <v>0</v>
      </c>
      <c r="O56" s="631">
        <f t="shared" si="32"/>
        <v>0</v>
      </c>
      <c r="P56" s="631">
        <f t="shared" si="32"/>
        <v>0</v>
      </c>
      <c r="Q56" s="632">
        <f t="shared" si="32"/>
        <v>0</v>
      </c>
      <c r="R56" s="632">
        <f t="shared" si="32"/>
        <v>0</v>
      </c>
      <c r="S56" s="632">
        <f t="shared" si="32"/>
        <v>0</v>
      </c>
      <c r="T56" s="632">
        <f t="shared" si="32"/>
        <v>0</v>
      </c>
      <c r="U56" s="632">
        <f t="shared" si="32"/>
        <v>0</v>
      </c>
      <c r="V56" s="632">
        <f t="shared" si="32"/>
        <v>0</v>
      </c>
      <c r="W56" s="632">
        <f t="shared" si="32"/>
        <v>0</v>
      </c>
      <c r="X56" s="632">
        <f t="shared" si="32"/>
        <v>0</v>
      </c>
      <c r="Y56" s="633">
        <f t="shared" si="15"/>
        <v>8570000000</v>
      </c>
      <c r="Z56" s="633">
        <f t="shared" si="15"/>
        <v>5515480411</v>
      </c>
      <c r="AA56" s="633">
        <f t="shared" si="15"/>
        <v>3465395746</v>
      </c>
      <c r="AB56" s="633">
        <f t="shared" si="15"/>
        <v>2030750954</v>
      </c>
      <c r="AC56" s="439"/>
    </row>
    <row r="57" spans="1:59" ht="27.75" thickTop="1" thickBot="1" x14ac:dyDescent="0.3">
      <c r="A57" s="461"/>
      <c r="B57" s="461"/>
      <c r="C57" s="461"/>
      <c r="D57" s="461"/>
      <c r="E57" s="461"/>
      <c r="F57" s="461"/>
      <c r="G57" s="461"/>
      <c r="H57" s="634" t="s">
        <v>2187</v>
      </c>
      <c r="I57" s="618">
        <f>+I58</f>
        <v>250000000</v>
      </c>
      <c r="J57" s="618">
        <f t="shared" ref="J57:X58" si="33">+J58</f>
        <v>249996000</v>
      </c>
      <c r="K57" s="618">
        <f t="shared" si="33"/>
        <v>124998000</v>
      </c>
      <c r="L57" s="618">
        <f t="shared" si="33"/>
        <v>124998000</v>
      </c>
      <c r="M57" s="621">
        <f t="shared" si="33"/>
        <v>0</v>
      </c>
      <c r="N57" s="621">
        <f t="shared" si="33"/>
        <v>0</v>
      </c>
      <c r="O57" s="621">
        <f t="shared" si="33"/>
        <v>0</v>
      </c>
      <c r="P57" s="621">
        <f t="shared" si="33"/>
        <v>0</v>
      </c>
      <c r="Q57" s="463">
        <f t="shared" si="33"/>
        <v>0</v>
      </c>
      <c r="R57" s="463">
        <f t="shared" si="33"/>
        <v>0</v>
      </c>
      <c r="S57" s="463">
        <f t="shared" si="33"/>
        <v>0</v>
      </c>
      <c r="T57" s="463">
        <f t="shared" si="33"/>
        <v>0</v>
      </c>
      <c r="U57" s="463">
        <f t="shared" si="33"/>
        <v>0</v>
      </c>
      <c r="V57" s="463">
        <f t="shared" si="33"/>
        <v>0</v>
      </c>
      <c r="W57" s="463">
        <f t="shared" si="33"/>
        <v>0</v>
      </c>
      <c r="X57" s="463">
        <f t="shared" si="33"/>
        <v>0</v>
      </c>
      <c r="Y57" s="464">
        <f t="shared" si="15"/>
        <v>250000000</v>
      </c>
      <c r="Z57" s="464">
        <f t="shared" si="15"/>
        <v>249996000</v>
      </c>
      <c r="AA57" s="464">
        <f t="shared" si="15"/>
        <v>124998000</v>
      </c>
      <c r="AB57" s="464">
        <f t="shared" si="15"/>
        <v>124998000</v>
      </c>
      <c r="AC57" s="439"/>
    </row>
    <row r="58" spans="1:59" ht="15.75" customHeight="1" thickTop="1" thickBot="1" x14ac:dyDescent="0.3">
      <c r="A58" s="444"/>
      <c r="B58" s="444"/>
      <c r="C58" s="444"/>
      <c r="D58" s="444"/>
      <c r="E58" s="445"/>
      <c r="F58" s="445"/>
      <c r="G58" s="444"/>
      <c r="H58" s="471" t="s">
        <v>2188</v>
      </c>
      <c r="I58" s="635">
        <f>+I59</f>
        <v>250000000</v>
      </c>
      <c r="J58" s="635">
        <f t="shared" si="33"/>
        <v>249996000</v>
      </c>
      <c r="K58" s="635">
        <f t="shared" si="33"/>
        <v>124998000</v>
      </c>
      <c r="L58" s="635">
        <f t="shared" si="33"/>
        <v>124998000</v>
      </c>
      <c r="M58" s="636">
        <f t="shared" si="33"/>
        <v>0</v>
      </c>
      <c r="N58" s="636">
        <f t="shared" si="33"/>
        <v>0</v>
      </c>
      <c r="O58" s="636">
        <f t="shared" si="33"/>
        <v>0</v>
      </c>
      <c r="P58" s="636">
        <f t="shared" si="33"/>
        <v>0</v>
      </c>
      <c r="Q58" s="637">
        <f t="shared" si="33"/>
        <v>0</v>
      </c>
      <c r="R58" s="637">
        <f t="shared" si="33"/>
        <v>0</v>
      </c>
      <c r="S58" s="637">
        <f t="shared" si="33"/>
        <v>0</v>
      </c>
      <c r="T58" s="637">
        <f t="shared" si="33"/>
        <v>0</v>
      </c>
      <c r="U58" s="637">
        <f t="shared" si="33"/>
        <v>0</v>
      </c>
      <c r="V58" s="637">
        <f t="shared" si="33"/>
        <v>0</v>
      </c>
      <c r="W58" s="637">
        <f t="shared" si="33"/>
        <v>0</v>
      </c>
      <c r="X58" s="637">
        <f t="shared" si="33"/>
        <v>0</v>
      </c>
      <c r="Y58" s="638">
        <f t="shared" si="15"/>
        <v>250000000</v>
      </c>
      <c r="Z58" s="638">
        <f t="shared" si="15"/>
        <v>249996000</v>
      </c>
      <c r="AA58" s="638">
        <f t="shared" si="15"/>
        <v>124998000</v>
      </c>
      <c r="AB58" s="638">
        <f t="shared" si="15"/>
        <v>124998000</v>
      </c>
      <c r="AC58" s="439"/>
    </row>
    <row r="59" spans="1:59" ht="15.75" customHeight="1" thickTop="1" thickBot="1" x14ac:dyDescent="0.3">
      <c r="A59" s="444"/>
      <c r="B59" s="444"/>
      <c r="C59" s="444"/>
      <c r="D59" s="444"/>
      <c r="E59" s="445"/>
      <c r="F59" s="445"/>
      <c r="G59" s="444"/>
      <c r="H59" s="472" t="s">
        <v>2189</v>
      </c>
      <c r="I59" s="616">
        <v>250000000</v>
      </c>
      <c r="J59" s="616">
        <f>199996800+49999200</f>
        <v>249996000</v>
      </c>
      <c r="K59" s="616">
        <f>99998400+24999600</f>
        <v>124998000</v>
      </c>
      <c r="L59" s="616">
        <f>99998400+24999600</f>
        <v>124998000</v>
      </c>
      <c r="M59" s="616"/>
      <c r="N59" s="616"/>
      <c r="O59" s="616"/>
      <c r="P59" s="616"/>
      <c r="Q59" s="448"/>
      <c r="R59" s="448"/>
      <c r="S59" s="448"/>
      <c r="T59" s="448"/>
      <c r="U59" s="448"/>
      <c r="V59" s="448"/>
      <c r="W59" s="448"/>
      <c r="X59" s="448"/>
      <c r="Y59" s="449">
        <f t="shared" si="15"/>
        <v>250000000</v>
      </c>
      <c r="Z59" s="449">
        <f t="shared" si="15"/>
        <v>249996000</v>
      </c>
      <c r="AA59" s="449">
        <f t="shared" si="15"/>
        <v>124998000</v>
      </c>
      <c r="AB59" s="449">
        <f t="shared" si="15"/>
        <v>124998000</v>
      </c>
      <c r="AC59" s="439"/>
    </row>
    <row r="60" spans="1:59" s="469" customFormat="1" ht="15.75" customHeight="1" thickTop="1" thickBot="1" x14ac:dyDescent="0.3">
      <c r="H60" s="441" t="s">
        <v>2190</v>
      </c>
      <c r="I60" s="639">
        <f>+I61</f>
        <v>6270000000</v>
      </c>
      <c r="J60" s="639">
        <f>+J61</f>
        <v>3510785473</v>
      </c>
      <c r="K60" s="639">
        <f>+K61</f>
        <v>1629921331</v>
      </c>
      <c r="L60" s="639">
        <f>+L61</f>
        <v>947655385</v>
      </c>
      <c r="M60" s="640">
        <f t="shared" ref="M60:X60" si="34">+M61+M65</f>
        <v>0</v>
      </c>
      <c r="N60" s="640">
        <f t="shared" si="34"/>
        <v>0</v>
      </c>
      <c r="O60" s="640">
        <f t="shared" si="34"/>
        <v>0</v>
      </c>
      <c r="P60" s="640">
        <f t="shared" si="34"/>
        <v>0</v>
      </c>
      <c r="Q60" s="473">
        <f t="shared" si="34"/>
        <v>0</v>
      </c>
      <c r="R60" s="473">
        <f t="shared" si="34"/>
        <v>0</v>
      </c>
      <c r="S60" s="473">
        <f t="shared" si="34"/>
        <v>0</v>
      </c>
      <c r="T60" s="473">
        <f t="shared" si="34"/>
        <v>0</v>
      </c>
      <c r="U60" s="473">
        <f t="shared" si="34"/>
        <v>0</v>
      </c>
      <c r="V60" s="473">
        <f t="shared" si="34"/>
        <v>0</v>
      </c>
      <c r="W60" s="473">
        <f t="shared" si="34"/>
        <v>0</v>
      </c>
      <c r="X60" s="473">
        <f t="shared" si="34"/>
        <v>0</v>
      </c>
      <c r="Y60" s="474">
        <f t="shared" si="15"/>
        <v>6270000000</v>
      </c>
      <c r="Z60" s="474">
        <f t="shared" si="15"/>
        <v>3510785473</v>
      </c>
      <c r="AA60" s="474">
        <f t="shared" si="15"/>
        <v>1629921331</v>
      </c>
      <c r="AB60" s="474">
        <f t="shared" si="15"/>
        <v>947655385</v>
      </c>
      <c r="AC60" s="439"/>
      <c r="AD60"/>
      <c r="AE60"/>
      <c r="AF60"/>
      <c r="AG60"/>
      <c r="AH60"/>
      <c r="AI60"/>
      <c r="AJ60"/>
      <c r="AK60"/>
      <c r="AL60"/>
      <c r="AM60"/>
      <c r="AN60"/>
      <c r="AO60"/>
      <c r="AP60"/>
      <c r="AQ60"/>
      <c r="AR60"/>
      <c r="AS60"/>
      <c r="AT60"/>
      <c r="AU60"/>
      <c r="AV60"/>
      <c r="AW60"/>
      <c r="AX60"/>
      <c r="AY60"/>
      <c r="AZ60"/>
      <c r="BA60"/>
      <c r="BB60"/>
      <c r="BC60"/>
      <c r="BD60"/>
      <c r="BE60"/>
      <c r="BF60"/>
      <c r="BG60"/>
    </row>
    <row r="61" spans="1:59" s="461" customFormat="1" ht="15.75" customHeight="1" thickTop="1" thickBot="1" x14ac:dyDescent="0.3">
      <c r="H61" s="471" t="s">
        <v>2191</v>
      </c>
      <c r="I61" s="621">
        <f>+I62+I63</f>
        <v>6270000000</v>
      </c>
      <c r="J61" s="621">
        <f>+J62+J63</f>
        <v>3510785473</v>
      </c>
      <c r="K61" s="621">
        <f>+K62+K63</f>
        <v>1629921331</v>
      </c>
      <c r="L61" s="621">
        <f>+L62+L63</f>
        <v>947655385</v>
      </c>
      <c r="M61" s="621">
        <f t="shared" ref="M61:X63" si="35">+M62</f>
        <v>0</v>
      </c>
      <c r="N61" s="621">
        <f t="shared" si="35"/>
        <v>0</v>
      </c>
      <c r="O61" s="621">
        <f t="shared" si="35"/>
        <v>0</v>
      </c>
      <c r="P61" s="621">
        <f t="shared" si="35"/>
        <v>0</v>
      </c>
      <c r="Q61" s="463">
        <f t="shared" si="35"/>
        <v>0</v>
      </c>
      <c r="R61" s="463">
        <f t="shared" si="35"/>
        <v>0</v>
      </c>
      <c r="S61" s="463">
        <f t="shared" si="35"/>
        <v>0</v>
      </c>
      <c r="T61" s="463">
        <f t="shared" si="35"/>
        <v>0</v>
      </c>
      <c r="U61" s="463">
        <f t="shared" si="35"/>
        <v>0</v>
      </c>
      <c r="V61" s="463">
        <f t="shared" si="35"/>
        <v>0</v>
      </c>
      <c r="W61" s="463">
        <f t="shared" si="35"/>
        <v>0</v>
      </c>
      <c r="X61" s="463">
        <f t="shared" si="35"/>
        <v>0</v>
      </c>
      <c r="Y61" s="464">
        <f t="shared" si="15"/>
        <v>6270000000</v>
      </c>
      <c r="Z61" s="464">
        <f t="shared" si="15"/>
        <v>3510785473</v>
      </c>
      <c r="AA61" s="464">
        <f t="shared" si="15"/>
        <v>1629921331</v>
      </c>
      <c r="AB61" s="464">
        <f t="shared" si="15"/>
        <v>947655385</v>
      </c>
      <c r="AC61" s="439"/>
      <c r="AD61"/>
      <c r="AE61"/>
      <c r="AF61"/>
      <c r="AG61"/>
      <c r="AH61"/>
      <c r="AI61"/>
      <c r="AJ61"/>
      <c r="AK61"/>
      <c r="AL61"/>
      <c r="AM61"/>
      <c r="AN61"/>
      <c r="AO61"/>
      <c r="AP61"/>
      <c r="AQ61"/>
      <c r="AR61"/>
      <c r="AS61"/>
      <c r="AT61"/>
      <c r="AU61"/>
      <c r="AV61"/>
      <c r="AW61"/>
      <c r="AX61"/>
      <c r="AY61"/>
      <c r="AZ61"/>
      <c r="BA61"/>
      <c r="BB61"/>
      <c r="BC61"/>
      <c r="BD61"/>
      <c r="BE61"/>
      <c r="BF61"/>
      <c r="BG61"/>
    </row>
    <row r="62" spans="1:59" ht="15.75" customHeight="1" thickTop="1" thickBot="1" x14ac:dyDescent="0.3">
      <c r="A62" s="461"/>
      <c r="B62" s="461"/>
      <c r="C62" s="461"/>
      <c r="D62" s="461"/>
      <c r="E62" s="461"/>
      <c r="F62" s="461"/>
      <c r="G62" s="461"/>
      <c r="H62" s="472" t="s">
        <v>2192</v>
      </c>
      <c r="I62" s="616">
        <f>1620000000+3386000000</f>
        <v>5006000000</v>
      </c>
      <c r="J62" s="619">
        <f>1238134189+1258778617</f>
        <v>2496912806</v>
      </c>
      <c r="K62" s="619">
        <v>800784664</v>
      </c>
      <c r="L62" s="619">
        <v>554555918</v>
      </c>
      <c r="M62" s="619">
        <f t="shared" si="35"/>
        <v>0</v>
      </c>
      <c r="N62" s="619">
        <f t="shared" si="35"/>
        <v>0</v>
      </c>
      <c r="O62" s="619">
        <f t="shared" si="35"/>
        <v>0</v>
      </c>
      <c r="P62" s="619">
        <f t="shared" si="35"/>
        <v>0</v>
      </c>
      <c r="Q62" s="455">
        <f t="shared" si="35"/>
        <v>0</v>
      </c>
      <c r="R62" s="455">
        <f t="shared" si="35"/>
        <v>0</v>
      </c>
      <c r="S62" s="455">
        <f t="shared" si="35"/>
        <v>0</v>
      </c>
      <c r="T62" s="455">
        <f t="shared" si="35"/>
        <v>0</v>
      </c>
      <c r="U62" s="455">
        <f t="shared" si="35"/>
        <v>0</v>
      </c>
      <c r="V62" s="455">
        <f t="shared" si="35"/>
        <v>0</v>
      </c>
      <c r="W62" s="455">
        <f t="shared" si="35"/>
        <v>0</v>
      </c>
      <c r="X62" s="455">
        <f t="shared" si="35"/>
        <v>0</v>
      </c>
      <c r="Y62" s="456">
        <f t="shared" si="15"/>
        <v>5006000000</v>
      </c>
      <c r="Z62" s="456">
        <f t="shared" si="15"/>
        <v>2496912806</v>
      </c>
      <c r="AA62" s="456">
        <f t="shared" si="15"/>
        <v>800784664</v>
      </c>
      <c r="AB62" s="456">
        <f t="shared" si="15"/>
        <v>554555918</v>
      </c>
      <c r="AC62" s="439"/>
    </row>
    <row r="63" spans="1:59" ht="15.75" customHeight="1" thickTop="1" thickBot="1" x14ac:dyDescent="0.3">
      <c r="A63" s="444"/>
      <c r="B63" s="444"/>
      <c r="C63" s="446"/>
      <c r="D63" s="444"/>
      <c r="E63" s="445"/>
      <c r="F63" s="444"/>
      <c r="G63" s="444"/>
      <c r="H63" s="472" t="s">
        <v>2193</v>
      </c>
      <c r="I63" s="616">
        <f>600000000+664000000</f>
        <v>1264000000</v>
      </c>
      <c r="J63" s="616">
        <f>351232667+662640000</f>
        <v>1013872667</v>
      </c>
      <c r="K63" s="616">
        <f>166496667+662640000</f>
        <v>829136667</v>
      </c>
      <c r="L63" s="616">
        <f>101939467+291160000</f>
        <v>393099467</v>
      </c>
      <c r="M63" s="616">
        <f t="shared" si="35"/>
        <v>0</v>
      </c>
      <c r="N63" s="616">
        <f t="shared" si="35"/>
        <v>0</v>
      </c>
      <c r="O63" s="616">
        <f t="shared" si="35"/>
        <v>0</v>
      </c>
      <c r="P63" s="616">
        <f t="shared" si="35"/>
        <v>0</v>
      </c>
      <c r="Q63" s="448">
        <f t="shared" si="35"/>
        <v>0</v>
      </c>
      <c r="R63" s="448">
        <f t="shared" si="35"/>
        <v>0</v>
      </c>
      <c r="S63" s="448">
        <f t="shared" si="35"/>
        <v>0</v>
      </c>
      <c r="T63" s="448">
        <f t="shared" si="35"/>
        <v>0</v>
      </c>
      <c r="U63" s="448">
        <f t="shared" si="35"/>
        <v>0</v>
      </c>
      <c r="V63" s="448">
        <f t="shared" si="35"/>
        <v>0</v>
      </c>
      <c r="W63" s="448">
        <f t="shared" si="35"/>
        <v>0</v>
      </c>
      <c r="X63" s="448">
        <f t="shared" si="35"/>
        <v>0</v>
      </c>
      <c r="Y63" s="449">
        <f t="shared" si="15"/>
        <v>1264000000</v>
      </c>
      <c r="Z63" s="449">
        <f t="shared" si="15"/>
        <v>1013872667</v>
      </c>
      <c r="AA63" s="449">
        <f t="shared" si="15"/>
        <v>829136667</v>
      </c>
      <c r="AB63" s="449">
        <f t="shared" si="15"/>
        <v>393099467</v>
      </c>
      <c r="AC63" s="439"/>
    </row>
    <row r="64" spans="1:59" ht="15.75" customHeight="1" thickTop="1" thickBot="1" x14ac:dyDescent="0.3">
      <c r="A64" s="444"/>
      <c r="B64" s="444"/>
      <c r="C64" s="446"/>
      <c r="D64" s="444"/>
      <c r="E64" s="445"/>
      <c r="F64" s="445"/>
      <c r="G64" s="444"/>
      <c r="H64" s="441" t="s">
        <v>2194</v>
      </c>
      <c r="I64" s="635">
        <f>+I65</f>
        <v>2050000000</v>
      </c>
      <c r="J64" s="635">
        <f>+J65</f>
        <v>1754698938</v>
      </c>
      <c r="K64" s="635">
        <f>+K65</f>
        <v>1710476415</v>
      </c>
      <c r="L64" s="635">
        <f>+L65</f>
        <v>958097569</v>
      </c>
      <c r="M64" s="636"/>
      <c r="N64" s="636"/>
      <c r="O64" s="636"/>
      <c r="P64" s="636"/>
      <c r="Q64" s="637"/>
      <c r="R64" s="637"/>
      <c r="S64" s="637"/>
      <c r="T64" s="637"/>
      <c r="U64" s="637"/>
      <c r="V64" s="637"/>
      <c r="W64" s="637"/>
      <c r="X64" s="637"/>
      <c r="Y64" s="638">
        <f t="shared" si="15"/>
        <v>2050000000</v>
      </c>
      <c r="Z64" s="638">
        <f t="shared" si="15"/>
        <v>1754698938</v>
      </c>
      <c r="AA64" s="638">
        <f t="shared" si="15"/>
        <v>1710476415</v>
      </c>
      <c r="AB64" s="638">
        <f t="shared" si="15"/>
        <v>958097569</v>
      </c>
      <c r="AC64" s="439"/>
    </row>
    <row r="65" spans="1:59" s="471" customFormat="1" ht="15.75" customHeight="1" thickTop="1" thickBot="1" x14ac:dyDescent="0.3">
      <c r="A65" s="475"/>
      <c r="B65" s="475"/>
      <c r="C65" s="475"/>
      <c r="D65" s="475"/>
      <c r="E65" s="475"/>
      <c r="F65" s="475"/>
      <c r="H65" s="471" t="s">
        <v>2195</v>
      </c>
      <c r="I65" s="641">
        <f>+I66</f>
        <v>2050000000</v>
      </c>
      <c r="J65" s="641">
        <f t="shared" ref="J65:X67" si="36">+J66</f>
        <v>1754698938</v>
      </c>
      <c r="K65" s="641">
        <f t="shared" si="36"/>
        <v>1710476415</v>
      </c>
      <c r="L65" s="641">
        <f t="shared" si="36"/>
        <v>958097569</v>
      </c>
      <c r="M65" s="641">
        <f t="shared" si="36"/>
        <v>0</v>
      </c>
      <c r="N65" s="641">
        <f t="shared" si="36"/>
        <v>0</v>
      </c>
      <c r="O65" s="641">
        <f t="shared" si="36"/>
        <v>0</v>
      </c>
      <c r="P65" s="641">
        <f t="shared" si="36"/>
        <v>0</v>
      </c>
      <c r="Q65" s="476">
        <f t="shared" si="36"/>
        <v>0</v>
      </c>
      <c r="R65" s="476">
        <f t="shared" si="36"/>
        <v>0</v>
      </c>
      <c r="S65" s="476">
        <f t="shared" si="36"/>
        <v>0</v>
      </c>
      <c r="T65" s="476">
        <f t="shared" si="36"/>
        <v>0</v>
      </c>
      <c r="U65" s="476">
        <f t="shared" si="36"/>
        <v>0</v>
      </c>
      <c r="V65" s="476">
        <f t="shared" si="36"/>
        <v>0</v>
      </c>
      <c r="W65" s="476">
        <f t="shared" si="36"/>
        <v>0</v>
      </c>
      <c r="X65" s="476">
        <f t="shared" si="36"/>
        <v>0</v>
      </c>
      <c r="Y65" s="477">
        <f t="shared" si="15"/>
        <v>2050000000</v>
      </c>
      <c r="Z65" s="477">
        <f t="shared" si="15"/>
        <v>1754698938</v>
      </c>
      <c r="AA65" s="477">
        <f t="shared" si="15"/>
        <v>1710476415</v>
      </c>
      <c r="AB65" s="477">
        <f t="shared" si="15"/>
        <v>958097569</v>
      </c>
      <c r="AC65" s="439"/>
      <c r="AD65"/>
      <c r="AE65"/>
      <c r="AF65"/>
      <c r="AG65"/>
      <c r="AH65"/>
      <c r="AI65"/>
      <c r="AJ65"/>
      <c r="AK65"/>
      <c r="AL65"/>
      <c r="AM65"/>
      <c r="AN65"/>
      <c r="AO65"/>
      <c r="AP65"/>
      <c r="AQ65"/>
      <c r="AR65"/>
      <c r="AS65"/>
      <c r="AT65"/>
      <c r="AU65"/>
      <c r="AV65"/>
      <c r="AW65"/>
      <c r="AX65"/>
      <c r="AY65"/>
      <c r="AZ65"/>
      <c r="BA65"/>
      <c r="BB65"/>
      <c r="BC65"/>
      <c r="BD65"/>
      <c r="BE65"/>
      <c r="BF65"/>
      <c r="BG65"/>
    </row>
    <row r="66" spans="1:59" ht="15.75" customHeight="1" thickTop="1" thickBot="1" x14ac:dyDescent="0.3">
      <c r="A66" s="475"/>
      <c r="B66" s="475"/>
      <c r="C66" s="475"/>
      <c r="D66" s="475"/>
      <c r="E66" s="461"/>
      <c r="F66" s="461"/>
      <c r="G66" s="461"/>
      <c r="H66" s="472" t="s">
        <v>2196</v>
      </c>
      <c r="I66" s="619">
        <f>600000000+1450000000</f>
        <v>2050000000</v>
      </c>
      <c r="J66" s="619">
        <f>598429338+1156269600</f>
        <v>1754698938</v>
      </c>
      <c r="K66" s="619">
        <f>554206815+1156269600</f>
        <v>1710476415</v>
      </c>
      <c r="L66" s="619">
        <f>513343461+444754108</f>
        <v>958097569</v>
      </c>
      <c r="M66" s="619">
        <f t="shared" si="36"/>
        <v>0</v>
      </c>
      <c r="N66" s="619">
        <f t="shared" si="36"/>
        <v>0</v>
      </c>
      <c r="O66" s="619">
        <f t="shared" si="36"/>
        <v>0</v>
      </c>
      <c r="P66" s="619">
        <f t="shared" si="36"/>
        <v>0</v>
      </c>
      <c r="Q66" s="455">
        <f t="shared" si="36"/>
        <v>0</v>
      </c>
      <c r="R66" s="455">
        <f t="shared" si="36"/>
        <v>0</v>
      </c>
      <c r="S66" s="455">
        <f t="shared" si="36"/>
        <v>0</v>
      </c>
      <c r="T66" s="455">
        <f t="shared" si="36"/>
        <v>0</v>
      </c>
      <c r="U66" s="455">
        <f t="shared" si="36"/>
        <v>0</v>
      </c>
      <c r="V66" s="455">
        <f t="shared" si="36"/>
        <v>0</v>
      </c>
      <c r="W66" s="455">
        <f t="shared" si="36"/>
        <v>0</v>
      </c>
      <c r="X66" s="455">
        <f t="shared" si="36"/>
        <v>0</v>
      </c>
      <c r="Y66" s="456">
        <f t="shared" si="15"/>
        <v>2050000000</v>
      </c>
      <c r="Z66" s="456">
        <f t="shared" si="15"/>
        <v>1754698938</v>
      </c>
      <c r="AA66" s="456">
        <f t="shared" si="15"/>
        <v>1710476415</v>
      </c>
      <c r="AB66" s="456">
        <f t="shared" si="15"/>
        <v>958097569</v>
      </c>
      <c r="AC66" s="439"/>
    </row>
    <row r="67" spans="1:59" ht="15.75" customHeight="1" thickTop="1" thickBot="1" x14ac:dyDescent="0.3">
      <c r="A67" s="444"/>
      <c r="B67" s="444"/>
      <c r="C67" s="446"/>
      <c r="D67" s="446"/>
      <c r="E67" s="445"/>
      <c r="F67" s="445"/>
      <c r="G67" s="444"/>
      <c r="H67" s="624" t="s">
        <v>2197</v>
      </c>
      <c r="I67" s="642">
        <f>+I69+I71</f>
        <v>1850000000</v>
      </c>
      <c r="J67" s="642">
        <f>+J69+J71</f>
        <v>159416827</v>
      </c>
      <c r="K67" s="643">
        <f>+K68+K71</f>
        <v>159416827</v>
      </c>
      <c r="L67" s="643">
        <f>+L68+L71</f>
        <v>159416827</v>
      </c>
      <c r="M67" s="643">
        <f t="shared" si="36"/>
        <v>0</v>
      </c>
      <c r="N67" s="643">
        <f t="shared" si="36"/>
        <v>0</v>
      </c>
      <c r="O67" s="643">
        <f t="shared" si="36"/>
        <v>0</v>
      </c>
      <c r="P67" s="643">
        <f t="shared" si="36"/>
        <v>0</v>
      </c>
      <c r="Q67" s="644">
        <f t="shared" si="36"/>
        <v>0</v>
      </c>
      <c r="R67" s="644">
        <f t="shared" si="36"/>
        <v>0</v>
      </c>
      <c r="S67" s="644">
        <f t="shared" si="36"/>
        <v>0</v>
      </c>
      <c r="T67" s="644">
        <f t="shared" si="36"/>
        <v>0</v>
      </c>
      <c r="U67" s="644">
        <f t="shared" si="36"/>
        <v>0</v>
      </c>
      <c r="V67" s="644">
        <f t="shared" si="36"/>
        <v>0</v>
      </c>
      <c r="W67" s="644">
        <f t="shared" si="36"/>
        <v>0</v>
      </c>
      <c r="X67" s="644">
        <f t="shared" si="36"/>
        <v>0</v>
      </c>
      <c r="Y67" s="645">
        <f t="shared" si="15"/>
        <v>1850000000</v>
      </c>
      <c r="Z67" s="645">
        <f t="shared" si="15"/>
        <v>159416827</v>
      </c>
      <c r="AA67" s="645">
        <f t="shared" si="15"/>
        <v>159416827</v>
      </c>
      <c r="AB67" s="645">
        <f t="shared" si="15"/>
        <v>159416827</v>
      </c>
      <c r="AC67" s="439"/>
    </row>
    <row r="68" spans="1:59" ht="16.5" thickTop="1" thickBot="1" x14ac:dyDescent="0.3">
      <c r="A68" s="444"/>
      <c r="B68" s="444"/>
      <c r="C68" s="446"/>
      <c r="D68" s="446"/>
      <c r="E68" s="445"/>
      <c r="F68" s="445"/>
      <c r="G68" s="445"/>
      <c r="H68" s="634" t="s">
        <v>2198</v>
      </c>
      <c r="I68" s="646">
        <f t="shared" ref="I68:L69" si="37">+I69</f>
        <v>1600000000</v>
      </c>
      <c r="J68" s="635">
        <f t="shared" si="37"/>
        <v>159416827</v>
      </c>
      <c r="K68" s="635">
        <f t="shared" si="37"/>
        <v>159416827</v>
      </c>
      <c r="L68" s="635">
        <f t="shared" si="37"/>
        <v>159416827</v>
      </c>
      <c r="M68" s="636"/>
      <c r="N68" s="636"/>
      <c r="O68" s="636"/>
      <c r="P68" s="636"/>
      <c r="Q68" s="637"/>
      <c r="R68" s="637"/>
      <c r="S68" s="637"/>
      <c r="T68" s="637"/>
      <c r="U68" s="637"/>
      <c r="V68" s="637"/>
      <c r="W68" s="637"/>
      <c r="X68" s="637"/>
      <c r="Y68" s="638">
        <f t="shared" si="15"/>
        <v>1600000000</v>
      </c>
      <c r="Z68" s="638">
        <f t="shared" si="15"/>
        <v>159416827</v>
      </c>
      <c r="AA68" s="638">
        <f t="shared" si="15"/>
        <v>159416827</v>
      </c>
      <c r="AB68" s="638">
        <f t="shared" si="15"/>
        <v>159416827</v>
      </c>
      <c r="AC68" s="439"/>
    </row>
    <row r="69" spans="1:59" ht="16.5" thickTop="1" thickBot="1" x14ac:dyDescent="0.3">
      <c r="A69" s="469"/>
      <c r="B69" s="440"/>
      <c r="C69" s="440"/>
      <c r="D69" s="440"/>
      <c r="E69" s="469"/>
      <c r="F69" s="469"/>
      <c r="G69" s="469"/>
      <c r="H69" s="471" t="s">
        <v>2199</v>
      </c>
      <c r="I69" s="622">
        <f t="shared" si="37"/>
        <v>1600000000</v>
      </c>
      <c r="J69" s="622">
        <f t="shared" si="37"/>
        <v>159416827</v>
      </c>
      <c r="K69" s="622">
        <f t="shared" si="37"/>
        <v>159416827</v>
      </c>
      <c r="L69" s="622">
        <f t="shared" si="37"/>
        <v>159416827</v>
      </c>
      <c r="M69" s="622">
        <f t="shared" ref="M69:X69" si="38">+M71+M75</f>
        <v>0</v>
      </c>
      <c r="N69" s="622">
        <f t="shared" si="38"/>
        <v>0</v>
      </c>
      <c r="O69" s="622">
        <f t="shared" si="38"/>
        <v>0</v>
      </c>
      <c r="P69" s="622">
        <f t="shared" si="38"/>
        <v>0</v>
      </c>
      <c r="Q69" s="470">
        <f t="shared" si="38"/>
        <v>0</v>
      </c>
      <c r="R69" s="470">
        <f t="shared" si="38"/>
        <v>0</v>
      </c>
      <c r="S69" s="470">
        <f t="shared" si="38"/>
        <v>0</v>
      </c>
      <c r="T69" s="647">
        <f t="shared" si="38"/>
        <v>0</v>
      </c>
      <c r="U69" s="647">
        <f t="shared" si="38"/>
        <v>0</v>
      </c>
      <c r="V69" s="647">
        <f t="shared" si="38"/>
        <v>0</v>
      </c>
      <c r="W69" s="647">
        <f t="shared" si="38"/>
        <v>0</v>
      </c>
      <c r="X69" s="647">
        <f t="shared" si="38"/>
        <v>0</v>
      </c>
      <c r="Y69" s="648">
        <f t="shared" si="15"/>
        <v>1600000000</v>
      </c>
      <c r="Z69" s="648">
        <f t="shared" si="15"/>
        <v>159416827</v>
      </c>
      <c r="AA69" s="648">
        <f t="shared" si="15"/>
        <v>159416827</v>
      </c>
      <c r="AB69" s="648">
        <f t="shared" si="15"/>
        <v>159416827</v>
      </c>
      <c r="AC69" s="439"/>
    </row>
    <row r="70" spans="1:59" ht="16.5" thickTop="1" thickBot="1" x14ac:dyDescent="0.3">
      <c r="A70" s="469"/>
      <c r="B70" s="440"/>
      <c r="C70" s="440"/>
      <c r="D70" s="513"/>
      <c r="E70" s="514"/>
      <c r="F70" s="514"/>
      <c r="G70" s="514"/>
      <c r="H70" s="472" t="s">
        <v>2200</v>
      </c>
      <c r="I70" s="619">
        <f>862700000+737300000</f>
        <v>1600000000</v>
      </c>
      <c r="J70" s="619">
        <f>159416827+0</f>
        <v>159416827</v>
      </c>
      <c r="K70" s="619">
        <v>159416827</v>
      </c>
      <c r="L70" s="619">
        <v>159416827</v>
      </c>
      <c r="M70" s="619"/>
      <c r="N70" s="619"/>
      <c r="O70" s="619"/>
      <c r="P70" s="619"/>
      <c r="Q70" s="455"/>
      <c r="R70" s="455"/>
      <c r="S70" s="455"/>
      <c r="T70" s="455"/>
      <c r="U70" s="455"/>
      <c r="V70" s="455"/>
      <c r="W70" s="455"/>
      <c r="X70" s="455"/>
      <c r="Y70" s="456"/>
      <c r="Z70" s="456"/>
      <c r="AA70" s="456"/>
      <c r="AB70" s="456"/>
      <c r="AC70" s="439"/>
    </row>
    <row r="71" spans="1:59" ht="16.5" thickTop="1" thickBot="1" x14ac:dyDescent="0.3">
      <c r="A71" s="461"/>
      <c r="B71" s="461"/>
      <c r="C71" s="461"/>
      <c r="D71" s="461"/>
      <c r="E71" s="461"/>
      <c r="F71" s="461"/>
      <c r="G71" s="461"/>
      <c r="H71" s="629" t="s">
        <v>2201</v>
      </c>
      <c r="I71" s="618">
        <f>+I72</f>
        <v>250000000</v>
      </c>
      <c r="J71" s="621">
        <f>+J72</f>
        <v>0</v>
      </c>
      <c r="K71" s="621">
        <f t="shared" ref="J71:X73" si="39">+K72</f>
        <v>0</v>
      </c>
      <c r="L71" s="621">
        <f t="shared" si="39"/>
        <v>0</v>
      </c>
      <c r="M71" s="621">
        <f t="shared" si="39"/>
        <v>0</v>
      </c>
      <c r="N71" s="621">
        <f t="shared" si="39"/>
        <v>0</v>
      </c>
      <c r="O71" s="621">
        <f t="shared" si="39"/>
        <v>0</v>
      </c>
      <c r="P71" s="621">
        <f t="shared" si="39"/>
        <v>0</v>
      </c>
      <c r="Q71" s="463">
        <f t="shared" si="39"/>
        <v>0</v>
      </c>
      <c r="R71" s="463">
        <f t="shared" si="39"/>
        <v>0</v>
      </c>
      <c r="S71" s="463">
        <f t="shared" si="39"/>
        <v>0</v>
      </c>
      <c r="T71" s="463">
        <f t="shared" si="39"/>
        <v>0</v>
      </c>
      <c r="U71" s="463">
        <f t="shared" si="39"/>
        <v>0</v>
      </c>
      <c r="V71" s="463">
        <f t="shared" si="39"/>
        <v>0</v>
      </c>
      <c r="W71" s="463">
        <f t="shared" si="39"/>
        <v>0</v>
      </c>
      <c r="X71" s="463">
        <f t="shared" si="39"/>
        <v>0</v>
      </c>
      <c r="Y71" s="464">
        <f t="shared" ref="Y71:AB96" si="40">+I71+M71+Q71+U71</f>
        <v>250000000</v>
      </c>
      <c r="Z71" s="464">
        <f t="shared" si="40"/>
        <v>0</v>
      </c>
      <c r="AA71" s="464">
        <f t="shared" si="40"/>
        <v>0</v>
      </c>
      <c r="AB71" s="464">
        <f t="shared" si="40"/>
        <v>0</v>
      </c>
      <c r="AC71" s="439"/>
    </row>
    <row r="72" spans="1:59" ht="16.5" thickTop="1" thickBot="1" x14ac:dyDescent="0.3">
      <c r="A72" s="461"/>
      <c r="B72" s="461"/>
      <c r="C72" s="461"/>
      <c r="D72" s="461"/>
      <c r="E72" s="461"/>
      <c r="F72" s="461"/>
      <c r="G72" s="461"/>
      <c r="H72" s="471" t="s">
        <v>2202</v>
      </c>
      <c r="I72" s="621">
        <f>+I73</f>
        <v>250000000</v>
      </c>
      <c r="J72" s="621">
        <f t="shared" si="39"/>
        <v>0</v>
      </c>
      <c r="K72" s="621">
        <f>+K73</f>
        <v>0</v>
      </c>
      <c r="L72" s="621">
        <f t="shared" si="39"/>
        <v>0</v>
      </c>
      <c r="M72" s="621">
        <f t="shared" si="39"/>
        <v>0</v>
      </c>
      <c r="N72" s="621">
        <f t="shared" si="39"/>
        <v>0</v>
      </c>
      <c r="O72" s="621">
        <f t="shared" si="39"/>
        <v>0</v>
      </c>
      <c r="P72" s="621">
        <f t="shared" si="39"/>
        <v>0</v>
      </c>
      <c r="Q72" s="463">
        <f t="shared" si="39"/>
        <v>0</v>
      </c>
      <c r="R72" s="463">
        <f t="shared" si="39"/>
        <v>0</v>
      </c>
      <c r="S72" s="463">
        <f t="shared" si="39"/>
        <v>0</v>
      </c>
      <c r="T72" s="463">
        <f t="shared" si="39"/>
        <v>0</v>
      </c>
      <c r="U72" s="463">
        <f t="shared" si="39"/>
        <v>0</v>
      </c>
      <c r="V72" s="463">
        <f t="shared" si="39"/>
        <v>0</v>
      </c>
      <c r="W72" s="463">
        <f t="shared" si="39"/>
        <v>0</v>
      </c>
      <c r="X72" s="463">
        <f t="shared" si="39"/>
        <v>0</v>
      </c>
      <c r="Y72" s="464">
        <f t="shared" si="40"/>
        <v>250000000</v>
      </c>
      <c r="Z72" s="464">
        <f t="shared" si="40"/>
        <v>0</v>
      </c>
      <c r="AA72" s="464">
        <f t="shared" si="40"/>
        <v>0</v>
      </c>
      <c r="AB72" s="464">
        <f t="shared" si="40"/>
        <v>0</v>
      </c>
      <c r="AC72" s="439"/>
    </row>
    <row r="73" spans="1:59" ht="16.5" thickTop="1" thickBot="1" x14ac:dyDescent="0.3">
      <c r="A73" s="444"/>
      <c r="B73" s="444"/>
      <c r="C73" s="444"/>
      <c r="D73" s="444"/>
      <c r="E73" s="445"/>
      <c r="F73" s="445"/>
      <c r="G73" s="444"/>
      <c r="H73" s="472" t="s">
        <v>2203</v>
      </c>
      <c r="I73" s="616">
        <f>53300000+196700000</f>
        <v>250000000</v>
      </c>
      <c r="J73" s="616">
        <v>0</v>
      </c>
      <c r="K73" s="616">
        <v>0</v>
      </c>
      <c r="L73" s="616">
        <v>0</v>
      </c>
      <c r="M73" s="616">
        <f t="shared" si="39"/>
        <v>0</v>
      </c>
      <c r="N73" s="616">
        <f t="shared" si="39"/>
        <v>0</v>
      </c>
      <c r="O73" s="616">
        <f t="shared" si="39"/>
        <v>0</v>
      </c>
      <c r="P73" s="616">
        <f t="shared" si="39"/>
        <v>0</v>
      </c>
      <c r="Q73" s="448">
        <f t="shared" si="39"/>
        <v>0</v>
      </c>
      <c r="R73" s="448">
        <f t="shared" si="39"/>
        <v>0</v>
      </c>
      <c r="S73" s="448">
        <f t="shared" si="39"/>
        <v>0</v>
      </c>
      <c r="T73" s="448">
        <f t="shared" si="39"/>
        <v>0</v>
      </c>
      <c r="U73" s="448">
        <f t="shared" si="39"/>
        <v>0</v>
      </c>
      <c r="V73" s="448">
        <f t="shared" si="39"/>
        <v>0</v>
      </c>
      <c r="W73" s="448">
        <f t="shared" si="39"/>
        <v>0</v>
      </c>
      <c r="X73" s="448">
        <f t="shared" si="39"/>
        <v>0</v>
      </c>
      <c r="Y73" s="449">
        <f t="shared" si="40"/>
        <v>250000000</v>
      </c>
      <c r="Z73" s="449">
        <f t="shared" si="40"/>
        <v>0</v>
      </c>
      <c r="AA73" s="449">
        <f t="shared" si="40"/>
        <v>0</v>
      </c>
      <c r="AB73" s="449">
        <f t="shared" si="40"/>
        <v>0</v>
      </c>
      <c r="AC73" s="439"/>
    </row>
    <row r="74" spans="1:59" ht="19.5" thickTop="1" thickBot="1" x14ac:dyDescent="0.3">
      <c r="A74" s="444"/>
      <c r="B74" s="444"/>
      <c r="C74" s="444"/>
      <c r="D74" s="444"/>
      <c r="E74" s="445"/>
      <c r="F74" s="445"/>
      <c r="G74" s="445"/>
      <c r="H74" s="624" t="s">
        <v>2204</v>
      </c>
      <c r="I74" s="642">
        <f>+I75</f>
        <v>15600000000</v>
      </c>
      <c r="J74" s="642">
        <f>+J75</f>
        <v>10897868075</v>
      </c>
      <c r="K74" s="642">
        <f>+K75</f>
        <v>7829379661</v>
      </c>
      <c r="L74" s="642">
        <f>+L75+L78</f>
        <v>6825379661</v>
      </c>
      <c r="M74" s="643"/>
      <c r="N74" s="643"/>
      <c r="O74" s="643"/>
      <c r="P74" s="643"/>
      <c r="Q74" s="644"/>
      <c r="R74" s="644"/>
      <c r="S74" s="644"/>
      <c r="T74" s="644"/>
      <c r="U74" s="644"/>
      <c r="V74" s="644"/>
      <c r="W74" s="644"/>
      <c r="X74" s="644"/>
      <c r="Y74" s="645">
        <f t="shared" si="40"/>
        <v>15600000000</v>
      </c>
      <c r="Z74" s="645">
        <f t="shared" si="40"/>
        <v>10897868075</v>
      </c>
      <c r="AA74" s="645">
        <f t="shared" si="40"/>
        <v>7829379661</v>
      </c>
      <c r="AB74" s="645">
        <f t="shared" si="40"/>
        <v>6825379661</v>
      </c>
      <c r="AC74" s="439"/>
    </row>
    <row r="75" spans="1:59" ht="16.5" thickTop="1" thickBot="1" x14ac:dyDescent="0.3">
      <c r="A75" s="461"/>
      <c r="B75" s="461"/>
      <c r="C75" s="461"/>
      <c r="D75" s="461"/>
      <c r="E75" s="461"/>
      <c r="F75" s="461"/>
      <c r="G75" s="461"/>
      <c r="H75" s="634" t="s">
        <v>2205</v>
      </c>
      <c r="I75" s="618">
        <f>+I76+I78</f>
        <v>15600000000</v>
      </c>
      <c r="J75" s="621">
        <f t="shared" ref="J75:X77" si="41">+J76</f>
        <v>10897868075</v>
      </c>
      <c r="K75" s="621">
        <f t="shared" si="41"/>
        <v>7829379661</v>
      </c>
      <c r="L75" s="621">
        <f t="shared" si="41"/>
        <v>6825379661</v>
      </c>
      <c r="M75" s="621">
        <f t="shared" si="41"/>
        <v>0</v>
      </c>
      <c r="N75" s="621">
        <f t="shared" si="41"/>
        <v>0</v>
      </c>
      <c r="O75" s="621">
        <f t="shared" si="41"/>
        <v>0</v>
      </c>
      <c r="P75" s="621">
        <f t="shared" si="41"/>
        <v>0</v>
      </c>
      <c r="Q75" s="463">
        <f t="shared" si="41"/>
        <v>0</v>
      </c>
      <c r="R75" s="463">
        <f t="shared" si="41"/>
        <v>0</v>
      </c>
      <c r="S75" s="463">
        <f t="shared" si="41"/>
        <v>0</v>
      </c>
      <c r="T75" s="463">
        <f t="shared" si="41"/>
        <v>0</v>
      </c>
      <c r="U75" s="463">
        <f t="shared" si="41"/>
        <v>0</v>
      </c>
      <c r="V75" s="463">
        <f t="shared" si="41"/>
        <v>0</v>
      </c>
      <c r="W75" s="463">
        <f t="shared" si="41"/>
        <v>0</v>
      </c>
      <c r="X75" s="463">
        <f t="shared" si="41"/>
        <v>0</v>
      </c>
      <c r="Y75" s="464">
        <f t="shared" si="40"/>
        <v>15600000000</v>
      </c>
      <c r="Z75" s="464">
        <f t="shared" si="40"/>
        <v>10897868075</v>
      </c>
      <c r="AA75" s="464">
        <f t="shared" si="40"/>
        <v>7829379661</v>
      </c>
      <c r="AB75" s="464">
        <f t="shared" si="40"/>
        <v>6825379661</v>
      </c>
      <c r="AC75" s="439"/>
    </row>
    <row r="76" spans="1:59" ht="16.5" thickTop="1" thickBot="1" x14ac:dyDescent="0.3">
      <c r="A76" s="461"/>
      <c r="B76" s="461"/>
      <c r="C76" s="461"/>
      <c r="D76" s="461"/>
      <c r="E76" s="461"/>
      <c r="F76" s="461"/>
      <c r="G76" s="461"/>
      <c r="H76" s="471" t="s">
        <v>2206</v>
      </c>
      <c r="I76" s="621">
        <f>+I77</f>
        <v>15100000000</v>
      </c>
      <c r="J76" s="621">
        <f t="shared" si="41"/>
        <v>10897868075</v>
      </c>
      <c r="K76" s="621">
        <f t="shared" si="41"/>
        <v>7829379661</v>
      </c>
      <c r="L76" s="621">
        <f t="shared" si="41"/>
        <v>6825379661</v>
      </c>
      <c r="M76" s="621">
        <f t="shared" si="41"/>
        <v>0</v>
      </c>
      <c r="N76" s="621">
        <f t="shared" si="41"/>
        <v>0</v>
      </c>
      <c r="O76" s="621">
        <f t="shared" si="41"/>
        <v>0</v>
      </c>
      <c r="P76" s="621">
        <f t="shared" si="41"/>
        <v>0</v>
      </c>
      <c r="Q76" s="463">
        <f t="shared" si="41"/>
        <v>0</v>
      </c>
      <c r="R76" s="463">
        <f t="shared" si="41"/>
        <v>0</v>
      </c>
      <c r="S76" s="463">
        <f t="shared" si="41"/>
        <v>0</v>
      </c>
      <c r="T76" s="463">
        <f t="shared" si="41"/>
        <v>0</v>
      </c>
      <c r="U76" s="463">
        <f t="shared" si="41"/>
        <v>0</v>
      </c>
      <c r="V76" s="463">
        <f t="shared" si="41"/>
        <v>0</v>
      </c>
      <c r="W76" s="463">
        <f t="shared" si="41"/>
        <v>0</v>
      </c>
      <c r="X76" s="463">
        <f t="shared" si="41"/>
        <v>0</v>
      </c>
      <c r="Y76" s="464">
        <f t="shared" si="40"/>
        <v>15100000000</v>
      </c>
      <c r="Z76" s="464">
        <f t="shared" si="40"/>
        <v>10897868075</v>
      </c>
      <c r="AA76" s="464">
        <f t="shared" si="40"/>
        <v>7829379661</v>
      </c>
      <c r="AB76" s="464">
        <f t="shared" si="40"/>
        <v>6825379661</v>
      </c>
      <c r="AC76" s="439"/>
    </row>
    <row r="77" spans="1:59" ht="16.5" thickTop="1" thickBot="1" x14ac:dyDescent="0.3">
      <c r="A77" s="444"/>
      <c r="B77" s="444"/>
      <c r="C77" s="444"/>
      <c r="D77" s="444"/>
      <c r="E77" s="445"/>
      <c r="F77" s="445"/>
      <c r="G77" s="444"/>
      <c r="H77" s="472" t="s">
        <v>2207</v>
      </c>
      <c r="I77" s="616">
        <f>5340000000+9760000000</f>
        <v>15100000000</v>
      </c>
      <c r="J77" s="616">
        <f>5326601018+5571267057</f>
        <v>10897868075</v>
      </c>
      <c r="K77" s="616">
        <f>3820537404+4008842257</f>
        <v>7829379661</v>
      </c>
      <c r="L77" s="616">
        <f>2816537404+4008842257</f>
        <v>6825379661</v>
      </c>
      <c r="M77" s="616">
        <f t="shared" si="41"/>
        <v>0</v>
      </c>
      <c r="N77" s="616">
        <f t="shared" si="41"/>
        <v>0</v>
      </c>
      <c r="O77" s="616">
        <f t="shared" si="41"/>
        <v>0</v>
      </c>
      <c r="P77" s="616">
        <f t="shared" si="41"/>
        <v>0</v>
      </c>
      <c r="Q77" s="448">
        <f t="shared" si="41"/>
        <v>0</v>
      </c>
      <c r="R77" s="448">
        <f t="shared" si="41"/>
        <v>0</v>
      </c>
      <c r="S77" s="448">
        <f t="shared" si="41"/>
        <v>0</v>
      </c>
      <c r="T77" s="448">
        <f t="shared" si="41"/>
        <v>0</v>
      </c>
      <c r="U77" s="448">
        <f t="shared" si="41"/>
        <v>0</v>
      </c>
      <c r="V77" s="448">
        <f t="shared" si="41"/>
        <v>0</v>
      </c>
      <c r="W77" s="448">
        <f t="shared" si="41"/>
        <v>0</v>
      </c>
      <c r="X77" s="448">
        <f t="shared" si="41"/>
        <v>0</v>
      </c>
      <c r="Y77" s="449">
        <f t="shared" si="40"/>
        <v>15100000000</v>
      </c>
      <c r="Z77" s="449">
        <f t="shared" si="40"/>
        <v>10897868075</v>
      </c>
      <c r="AA77" s="449">
        <f t="shared" si="40"/>
        <v>7829379661</v>
      </c>
      <c r="AB77" s="449">
        <f t="shared" si="40"/>
        <v>6825379661</v>
      </c>
      <c r="AC77" s="439"/>
    </row>
    <row r="78" spans="1:59" ht="16.5" thickTop="1" thickBot="1" x14ac:dyDescent="0.3">
      <c r="A78" s="444"/>
      <c r="B78" s="444"/>
      <c r="C78" s="444"/>
      <c r="D78" s="444"/>
      <c r="E78" s="445"/>
      <c r="F78" s="445"/>
      <c r="G78" s="444"/>
      <c r="H78" s="471" t="s">
        <v>2208</v>
      </c>
      <c r="I78" s="635">
        <f>+I79</f>
        <v>500000000</v>
      </c>
      <c r="J78" s="635"/>
      <c r="K78" s="635"/>
      <c r="L78" s="635"/>
      <c r="M78" s="636"/>
      <c r="N78" s="636"/>
      <c r="O78" s="636"/>
      <c r="P78" s="636"/>
      <c r="Q78" s="637"/>
      <c r="R78" s="637"/>
      <c r="S78" s="637"/>
      <c r="T78" s="637"/>
      <c r="U78" s="637"/>
      <c r="V78" s="637"/>
      <c r="W78" s="637"/>
      <c r="X78" s="637"/>
      <c r="Y78" s="638">
        <f t="shared" si="40"/>
        <v>500000000</v>
      </c>
      <c r="Z78" s="638">
        <f t="shared" si="40"/>
        <v>0</v>
      </c>
      <c r="AA78" s="638">
        <f t="shared" si="40"/>
        <v>0</v>
      </c>
      <c r="AB78" s="638">
        <f t="shared" si="40"/>
        <v>0</v>
      </c>
      <c r="AC78" s="439"/>
    </row>
    <row r="79" spans="1:59" ht="16.5" thickTop="1" thickBot="1" x14ac:dyDescent="0.3">
      <c r="A79" s="469"/>
      <c r="B79" s="469"/>
      <c r="C79" s="469"/>
      <c r="D79" s="469"/>
      <c r="E79" s="469"/>
      <c r="F79" s="469"/>
      <c r="G79" s="469"/>
      <c r="H79" s="472" t="s">
        <v>2209</v>
      </c>
      <c r="I79" s="616">
        <v>500000000</v>
      </c>
      <c r="J79" s="649">
        <v>0</v>
      </c>
      <c r="K79" s="650">
        <v>0</v>
      </c>
      <c r="L79" s="650">
        <v>0</v>
      </c>
      <c r="M79" s="649">
        <v>0</v>
      </c>
      <c r="N79" s="649">
        <v>0</v>
      </c>
      <c r="O79" s="649">
        <v>0</v>
      </c>
      <c r="P79" s="649">
        <v>0</v>
      </c>
      <c r="Q79" s="651">
        <v>0</v>
      </c>
      <c r="R79" s="651">
        <v>0</v>
      </c>
      <c r="S79" s="651">
        <v>0</v>
      </c>
      <c r="T79" s="651">
        <v>0</v>
      </c>
      <c r="U79" s="651">
        <v>0</v>
      </c>
      <c r="V79" s="651">
        <v>0</v>
      </c>
      <c r="W79" s="651">
        <v>0</v>
      </c>
      <c r="X79" s="651">
        <v>0</v>
      </c>
      <c r="Y79" s="652">
        <f t="shared" si="40"/>
        <v>500000000</v>
      </c>
      <c r="Z79" s="653">
        <f t="shared" si="40"/>
        <v>0</v>
      </c>
      <c r="AA79" s="653">
        <f t="shared" si="40"/>
        <v>0</v>
      </c>
      <c r="AB79" s="653">
        <f t="shared" si="40"/>
        <v>0</v>
      </c>
      <c r="AC79" s="439"/>
    </row>
    <row r="80" spans="1:59" ht="19.5" thickTop="1" thickBot="1" x14ac:dyDescent="0.3">
      <c r="A80" s="469"/>
      <c r="B80" s="469"/>
      <c r="C80" s="469"/>
      <c r="D80" s="469"/>
      <c r="E80" s="469"/>
      <c r="F80" s="469"/>
      <c r="G80" s="469"/>
      <c r="H80" s="624" t="s">
        <v>2210</v>
      </c>
      <c r="I80" s="642">
        <f>+I81+I88</f>
        <v>19895665059</v>
      </c>
      <c r="J80" s="642">
        <f>+J81+J88</f>
        <v>12663302280</v>
      </c>
      <c r="K80" s="654">
        <f>+K81+K88</f>
        <v>9272403990</v>
      </c>
      <c r="L80" s="654">
        <f>+L81+L88</f>
        <v>7746288252</v>
      </c>
      <c r="M80" s="655"/>
      <c r="N80" s="655"/>
      <c r="O80" s="655"/>
      <c r="P80" s="655"/>
      <c r="Q80" s="656"/>
      <c r="R80" s="656"/>
      <c r="S80" s="656"/>
      <c r="T80" s="656"/>
      <c r="U80" s="656"/>
      <c r="V80" s="656"/>
      <c r="W80" s="656"/>
      <c r="X80" s="656"/>
      <c r="Y80" s="657"/>
      <c r="Z80" s="657"/>
      <c r="AA80" s="657"/>
      <c r="AB80" s="657"/>
      <c r="AC80" s="439"/>
    </row>
    <row r="81" spans="1:29" ht="16.5" thickTop="1" thickBot="1" x14ac:dyDescent="0.3">
      <c r="A81" s="469"/>
      <c r="B81" s="469"/>
      <c r="C81" s="469"/>
      <c r="D81" s="469"/>
      <c r="E81" s="469"/>
      <c r="F81" s="469"/>
      <c r="G81" s="469"/>
      <c r="H81" s="634" t="s">
        <v>2211</v>
      </c>
      <c r="I81" s="618">
        <f>+I82+I84+I86</f>
        <v>3380000000</v>
      </c>
      <c r="J81" s="639">
        <f>+J82+J84+J86</f>
        <v>3252685708</v>
      </c>
      <c r="K81" s="639">
        <f>+K82+K84+K86</f>
        <v>3252685708</v>
      </c>
      <c r="L81" s="639">
        <f>+L82+L84+L86</f>
        <v>2558238987</v>
      </c>
      <c r="M81" s="640"/>
      <c r="N81" s="640"/>
      <c r="O81" s="640"/>
      <c r="P81" s="640"/>
      <c r="Q81" s="473"/>
      <c r="R81" s="473"/>
      <c r="S81" s="473"/>
      <c r="T81" s="473"/>
      <c r="U81" s="473"/>
      <c r="V81" s="473"/>
      <c r="W81" s="473"/>
      <c r="X81" s="473"/>
      <c r="Y81" s="474"/>
      <c r="Z81" s="474"/>
      <c r="AA81" s="474"/>
      <c r="AB81" s="474"/>
      <c r="AC81" s="439"/>
    </row>
    <row r="82" spans="1:29" ht="16.5" thickTop="1" thickBot="1" x14ac:dyDescent="0.3">
      <c r="A82" s="469"/>
      <c r="B82" s="469"/>
      <c r="C82" s="469"/>
      <c r="D82" s="469"/>
      <c r="E82" s="469"/>
      <c r="F82" s="469"/>
      <c r="G82" s="469"/>
      <c r="H82" s="471" t="s">
        <v>2212</v>
      </c>
      <c r="I82" s="621">
        <f>+I83</f>
        <v>1300000000</v>
      </c>
      <c r="J82" s="658">
        <f>+J83</f>
        <v>1293205011</v>
      </c>
      <c r="K82" s="658">
        <f>+K83</f>
        <v>1293205011</v>
      </c>
      <c r="L82" s="658">
        <f>+L83</f>
        <v>1008089091</v>
      </c>
      <c r="M82" s="640"/>
      <c r="N82" s="640"/>
      <c r="O82" s="640"/>
      <c r="P82" s="640"/>
      <c r="Q82" s="473"/>
      <c r="R82" s="473"/>
      <c r="S82" s="473"/>
      <c r="T82" s="473"/>
      <c r="U82" s="473"/>
      <c r="V82" s="473"/>
      <c r="W82" s="473"/>
      <c r="X82" s="473"/>
      <c r="Y82" s="474"/>
      <c r="Z82" s="474"/>
      <c r="AA82" s="474"/>
      <c r="AB82" s="474"/>
      <c r="AC82" s="439"/>
    </row>
    <row r="83" spans="1:29" ht="16.5" thickTop="1" thickBot="1" x14ac:dyDescent="0.3">
      <c r="A83" s="469"/>
      <c r="B83" s="469"/>
      <c r="C83" s="469"/>
      <c r="D83" s="469"/>
      <c r="E83" s="469"/>
      <c r="F83" s="469"/>
      <c r="G83" s="469"/>
      <c r="H83" s="472" t="s">
        <v>2213</v>
      </c>
      <c r="I83" s="616">
        <f>120000000+1180000000</f>
        <v>1300000000</v>
      </c>
      <c r="J83" s="650">
        <f>115966068+1177238943</f>
        <v>1293205011</v>
      </c>
      <c r="K83" s="650">
        <f>115966068+1177238943</f>
        <v>1293205011</v>
      </c>
      <c r="L83" s="650">
        <f>91357595+916731496</f>
        <v>1008089091</v>
      </c>
      <c r="M83" s="649"/>
      <c r="N83" s="649"/>
      <c r="O83" s="649"/>
      <c r="P83" s="649"/>
      <c r="Q83" s="651"/>
      <c r="R83" s="651"/>
      <c r="S83" s="651"/>
      <c r="T83" s="651"/>
      <c r="U83" s="651"/>
      <c r="V83" s="651"/>
      <c r="W83" s="651"/>
      <c r="X83" s="651"/>
      <c r="Y83" s="653"/>
      <c r="Z83" s="653"/>
      <c r="AA83" s="653"/>
      <c r="AB83" s="653"/>
      <c r="AC83" s="439"/>
    </row>
    <row r="84" spans="1:29" ht="16.5" thickTop="1" thickBot="1" x14ac:dyDescent="0.3">
      <c r="A84" s="469"/>
      <c r="B84" s="469"/>
      <c r="C84" s="469"/>
      <c r="D84" s="469"/>
      <c r="E84" s="469"/>
      <c r="F84" s="469"/>
      <c r="G84" s="469"/>
      <c r="H84" s="471" t="s">
        <v>2214</v>
      </c>
      <c r="I84" s="636">
        <f>+I85</f>
        <v>910000000</v>
      </c>
      <c r="J84" s="658">
        <f>+J85</f>
        <v>903316203</v>
      </c>
      <c r="K84" s="658">
        <f>+K85</f>
        <v>903316203</v>
      </c>
      <c r="L84" s="658">
        <f>+L85</f>
        <v>761852602</v>
      </c>
      <c r="M84" s="640"/>
      <c r="N84" s="640"/>
      <c r="O84" s="640"/>
      <c r="P84" s="640"/>
      <c r="Q84" s="473"/>
      <c r="R84" s="473"/>
      <c r="S84" s="473"/>
      <c r="T84" s="473"/>
      <c r="U84" s="473"/>
      <c r="V84" s="473"/>
      <c r="W84" s="473"/>
      <c r="X84" s="473"/>
      <c r="Y84" s="474"/>
      <c r="Z84" s="474"/>
      <c r="AA84" s="474"/>
      <c r="AB84" s="474"/>
      <c r="AC84" s="439"/>
    </row>
    <row r="85" spans="1:29" ht="16.5" thickTop="1" thickBot="1" x14ac:dyDescent="0.3">
      <c r="A85" s="469"/>
      <c r="B85" s="469"/>
      <c r="C85" s="469"/>
      <c r="D85" s="469"/>
      <c r="E85" s="469"/>
      <c r="F85" s="469"/>
      <c r="G85" s="469"/>
      <c r="H85" s="472" t="s">
        <v>2215</v>
      </c>
      <c r="I85" s="619">
        <f>450000000+460000000</f>
        <v>910000000</v>
      </c>
      <c r="J85" s="650">
        <f>449997457+453318746</f>
        <v>903316203</v>
      </c>
      <c r="K85" s="650">
        <f>449997457+453318746</f>
        <v>903316203</v>
      </c>
      <c r="L85" s="650">
        <f>438792496+323060106</f>
        <v>761852602</v>
      </c>
      <c r="M85" s="649"/>
      <c r="N85" s="649"/>
      <c r="O85" s="649"/>
      <c r="P85" s="649"/>
      <c r="Q85" s="651"/>
      <c r="R85" s="651"/>
      <c r="S85" s="651"/>
      <c r="T85" s="651"/>
      <c r="U85" s="651"/>
      <c r="V85" s="651"/>
      <c r="W85" s="651"/>
      <c r="X85" s="651"/>
      <c r="Y85" s="653"/>
      <c r="Z85" s="653"/>
      <c r="AA85" s="653"/>
      <c r="AB85" s="653"/>
      <c r="AC85" s="439"/>
    </row>
    <row r="86" spans="1:29" ht="16.5" thickTop="1" thickBot="1" x14ac:dyDescent="0.3">
      <c r="A86" s="461"/>
      <c r="B86" s="461"/>
      <c r="C86" s="461"/>
      <c r="D86" s="461"/>
      <c r="E86" s="461"/>
      <c r="F86" s="461"/>
      <c r="G86" s="461"/>
      <c r="H86" s="471" t="s">
        <v>2216</v>
      </c>
      <c r="I86" s="621">
        <f t="shared" ref="I86:P86" si="42">+I87</f>
        <v>1170000000</v>
      </c>
      <c r="J86" s="621">
        <f t="shared" si="42"/>
        <v>1056164494</v>
      </c>
      <c r="K86" s="621">
        <f t="shared" si="42"/>
        <v>1056164494</v>
      </c>
      <c r="L86" s="621">
        <f t="shared" si="42"/>
        <v>788297294</v>
      </c>
      <c r="M86" s="621">
        <f t="shared" si="42"/>
        <v>0</v>
      </c>
      <c r="N86" s="621">
        <f t="shared" si="42"/>
        <v>0</v>
      </c>
      <c r="O86" s="621">
        <f t="shared" si="42"/>
        <v>0</v>
      </c>
      <c r="P86" s="621">
        <f t="shared" si="42"/>
        <v>0</v>
      </c>
      <c r="Q86" s="463">
        <v>0</v>
      </c>
      <c r="R86" s="463">
        <f>+R87</f>
        <v>0</v>
      </c>
      <c r="S86" s="463">
        <v>0</v>
      </c>
      <c r="T86" s="463">
        <f>+T87</f>
        <v>0</v>
      </c>
      <c r="U86" s="463">
        <f>+U87</f>
        <v>0</v>
      </c>
      <c r="V86" s="463">
        <f>+V87</f>
        <v>0</v>
      </c>
      <c r="W86" s="463">
        <f>+W87</f>
        <v>0</v>
      </c>
      <c r="X86" s="463">
        <f>+X87</f>
        <v>0</v>
      </c>
      <c r="Y86" s="464">
        <v>0</v>
      </c>
      <c r="Z86" s="464">
        <v>0</v>
      </c>
      <c r="AA86" s="464">
        <v>0</v>
      </c>
      <c r="AB86" s="464">
        <v>0</v>
      </c>
      <c r="AC86" s="439"/>
    </row>
    <row r="87" spans="1:29" ht="16.5" thickTop="1" thickBot="1" x14ac:dyDescent="0.3">
      <c r="A87" s="461"/>
      <c r="B87" s="461"/>
      <c r="C87" s="461"/>
      <c r="D87" s="461"/>
      <c r="E87" s="461"/>
      <c r="F87" s="461"/>
      <c r="G87" s="461"/>
      <c r="H87" s="472" t="s">
        <v>2217</v>
      </c>
      <c r="I87" s="619">
        <f>570000000+600000000</f>
        <v>1170000000</v>
      </c>
      <c r="J87" s="619">
        <f>555938227+500226267</f>
        <v>1056164494</v>
      </c>
      <c r="K87" s="619">
        <f>555938227+500226267</f>
        <v>1056164494</v>
      </c>
      <c r="L87" s="619">
        <f>412506787+375790507</f>
        <v>788297294</v>
      </c>
      <c r="M87" s="619">
        <v>0</v>
      </c>
      <c r="N87" s="619">
        <v>0</v>
      </c>
      <c r="O87" s="619">
        <v>0</v>
      </c>
      <c r="P87" s="619">
        <v>0</v>
      </c>
      <c r="Q87" s="455">
        <v>0</v>
      </c>
      <c r="R87" s="455">
        <v>0</v>
      </c>
      <c r="S87" s="455">
        <v>0</v>
      </c>
      <c r="T87" s="455">
        <v>0</v>
      </c>
      <c r="U87" s="455">
        <v>0</v>
      </c>
      <c r="V87" s="455">
        <v>0</v>
      </c>
      <c r="W87" s="455">
        <v>0</v>
      </c>
      <c r="X87" s="455">
        <v>0</v>
      </c>
      <c r="Y87" s="456">
        <v>0</v>
      </c>
      <c r="Z87" s="456">
        <v>0</v>
      </c>
      <c r="AA87" s="456">
        <v>0</v>
      </c>
      <c r="AB87" s="456">
        <v>0</v>
      </c>
      <c r="AC87" s="439"/>
    </row>
    <row r="88" spans="1:29" ht="16.5" thickTop="1" thickBot="1" x14ac:dyDescent="0.3">
      <c r="A88" s="444"/>
      <c r="B88" s="444"/>
      <c r="C88" s="446"/>
      <c r="D88" s="444"/>
      <c r="E88" s="445"/>
      <c r="F88" s="444"/>
      <c r="G88" s="444"/>
      <c r="H88" s="634" t="s">
        <v>2218</v>
      </c>
      <c r="I88" s="635">
        <f>+I89+I91+I93+I95</f>
        <v>16515665059</v>
      </c>
      <c r="J88" s="635">
        <f>+J89+J91+J93+J95</f>
        <v>9410616572</v>
      </c>
      <c r="K88" s="635">
        <f>+K89+K91+K93+K95</f>
        <v>6019718282</v>
      </c>
      <c r="L88" s="635">
        <f>+L89+L91+L93+L95</f>
        <v>5188049265</v>
      </c>
      <c r="M88" s="636">
        <v>0</v>
      </c>
      <c r="N88" s="636">
        <v>0</v>
      </c>
      <c r="O88" s="636">
        <v>0</v>
      </c>
      <c r="P88" s="636">
        <v>0</v>
      </c>
      <c r="Q88" s="637">
        <v>0</v>
      </c>
      <c r="R88" s="637">
        <v>0</v>
      </c>
      <c r="S88" s="637">
        <v>0</v>
      </c>
      <c r="T88" s="637">
        <v>0</v>
      </c>
      <c r="U88" s="637">
        <v>0</v>
      </c>
      <c r="V88" s="637">
        <v>0</v>
      </c>
      <c r="W88" s="637">
        <v>0</v>
      </c>
      <c r="X88" s="637">
        <v>0</v>
      </c>
      <c r="Y88" s="638">
        <v>0</v>
      </c>
      <c r="Z88" s="638">
        <v>0</v>
      </c>
      <c r="AA88" s="638">
        <v>0</v>
      </c>
      <c r="AB88" s="638">
        <v>0</v>
      </c>
      <c r="AC88" s="439"/>
    </row>
    <row r="89" spans="1:29" ht="16.5" thickTop="1" thickBot="1" x14ac:dyDescent="0.3">
      <c r="A89" s="444"/>
      <c r="B89" s="444"/>
      <c r="C89" s="446"/>
      <c r="D89" s="444"/>
      <c r="E89" s="445"/>
      <c r="F89" s="444"/>
      <c r="G89" s="444"/>
      <c r="H89" s="471" t="s">
        <v>2219</v>
      </c>
      <c r="I89" s="635">
        <f>+I90</f>
        <v>1100000000</v>
      </c>
      <c r="J89" s="636">
        <f>+J90</f>
        <v>199996800</v>
      </c>
      <c r="K89" s="636">
        <f>+K90</f>
        <v>199996800</v>
      </c>
      <c r="L89" s="636">
        <f>+L90</f>
        <v>199996800</v>
      </c>
      <c r="M89" s="636"/>
      <c r="N89" s="636"/>
      <c r="O89" s="636"/>
      <c r="P89" s="636"/>
      <c r="Q89" s="637"/>
      <c r="R89" s="637"/>
      <c r="S89" s="637"/>
      <c r="T89" s="637"/>
      <c r="U89" s="637"/>
      <c r="V89" s="637"/>
      <c r="W89" s="637"/>
      <c r="X89" s="637"/>
      <c r="Y89" s="638"/>
      <c r="Z89" s="638"/>
      <c r="AA89" s="638"/>
      <c r="AB89" s="638"/>
      <c r="AC89" s="439"/>
    </row>
    <row r="90" spans="1:29" ht="16.5" thickTop="1" thickBot="1" x14ac:dyDescent="0.3">
      <c r="A90" s="444"/>
      <c r="B90" s="444"/>
      <c r="C90" s="446"/>
      <c r="D90" s="444"/>
      <c r="E90" s="445"/>
      <c r="F90" s="444"/>
      <c r="G90" s="444"/>
      <c r="H90" s="472" t="s">
        <v>2220</v>
      </c>
      <c r="I90" s="619">
        <f>74902500+1025097500</f>
        <v>1100000000</v>
      </c>
      <c r="J90" s="619">
        <f>74901302+125095498</f>
        <v>199996800</v>
      </c>
      <c r="K90" s="619">
        <f>74901302+125095498</f>
        <v>199996800</v>
      </c>
      <c r="L90" s="619">
        <f>74901302+125095498</f>
        <v>199996800</v>
      </c>
      <c r="M90" s="619"/>
      <c r="N90" s="619"/>
      <c r="O90" s="619"/>
      <c r="P90" s="619">
        <v>0</v>
      </c>
      <c r="Q90" s="455"/>
      <c r="R90" s="455"/>
      <c r="S90" s="455"/>
      <c r="T90" s="455"/>
      <c r="U90" s="455"/>
      <c r="V90" s="455"/>
      <c r="W90" s="455"/>
      <c r="X90" s="455"/>
      <c r="Y90" s="456"/>
      <c r="Z90" s="456"/>
      <c r="AA90" s="456"/>
      <c r="AB90" s="456"/>
      <c r="AC90" s="439"/>
    </row>
    <row r="91" spans="1:29" ht="16.5" thickTop="1" thickBot="1" x14ac:dyDescent="0.3">
      <c r="A91" s="444"/>
      <c r="B91" s="444"/>
      <c r="C91" s="446"/>
      <c r="D91" s="444"/>
      <c r="E91" s="445"/>
      <c r="F91" s="444"/>
      <c r="G91" s="444"/>
      <c r="H91" s="471" t="s">
        <v>2221</v>
      </c>
      <c r="I91" s="635">
        <f>+I92</f>
        <v>900000000</v>
      </c>
      <c r="J91" s="636">
        <f>+J92</f>
        <v>675012368</v>
      </c>
      <c r="K91" s="636">
        <f>+K92</f>
        <v>675012368</v>
      </c>
      <c r="L91" s="636">
        <f>+L92</f>
        <v>452801904</v>
      </c>
      <c r="M91" s="636"/>
      <c r="N91" s="636"/>
      <c r="O91" s="636"/>
      <c r="P91" s="636"/>
      <c r="Q91" s="637"/>
      <c r="R91" s="637"/>
      <c r="S91" s="637"/>
      <c r="T91" s="637"/>
      <c r="U91" s="637"/>
      <c r="V91" s="637"/>
      <c r="W91" s="637"/>
      <c r="X91" s="637"/>
      <c r="Y91" s="638"/>
      <c r="Z91" s="638"/>
      <c r="AA91" s="638"/>
      <c r="AB91" s="638"/>
      <c r="AC91" s="439"/>
    </row>
    <row r="92" spans="1:29" ht="16.5" thickTop="1" thickBot="1" x14ac:dyDescent="0.3">
      <c r="A92" s="444"/>
      <c r="B92" s="444"/>
      <c r="C92" s="446"/>
      <c r="D92" s="444"/>
      <c r="E92" s="445"/>
      <c r="F92" s="444"/>
      <c r="G92" s="444"/>
      <c r="H92" s="472" t="s">
        <v>2222</v>
      </c>
      <c r="I92" s="619">
        <f>194400000+705600000</f>
        <v>900000000</v>
      </c>
      <c r="J92" s="619">
        <f>155940087+519072281</f>
        <v>675012368</v>
      </c>
      <c r="K92" s="619">
        <f>155940087+519072281</f>
        <v>675012368</v>
      </c>
      <c r="L92" s="619">
        <f>90635273+362166631</f>
        <v>452801904</v>
      </c>
      <c r="M92" s="619"/>
      <c r="N92" s="619"/>
      <c r="O92" s="619"/>
      <c r="P92" s="619"/>
      <c r="Q92" s="455"/>
      <c r="R92" s="455"/>
      <c r="S92" s="455"/>
      <c r="T92" s="455"/>
      <c r="U92" s="455"/>
      <c r="V92" s="455"/>
      <c r="W92" s="455"/>
      <c r="X92" s="455"/>
      <c r="Y92" s="456"/>
      <c r="Z92" s="456"/>
      <c r="AA92" s="456"/>
      <c r="AB92" s="456"/>
      <c r="AC92" s="439"/>
    </row>
    <row r="93" spans="1:29" ht="16.5" thickTop="1" thickBot="1" x14ac:dyDescent="0.3">
      <c r="A93" s="475"/>
      <c r="B93" s="475"/>
      <c r="C93" s="475"/>
      <c r="D93" s="475"/>
      <c r="E93" s="475"/>
      <c r="F93" s="475"/>
      <c r="G93" s="471"/>
      <c r="H93" s="471" t="s">
        <v>2223</v>
      </c>
      <c r="I93" s="659">
        <f>+I94</f>
        <v>10898648743</v>
      </c>
      <c r="J93" s="659">
        <f t="shared" ref="J93:X95" si="43">+J94</f>
        <v>7993694137</v>
      </c>
      <c r="K93" s="659">
        <f t="shared" si="43"/>
        <v>4602795847</v>
      </c>
      <c r="L93" s="659">
        <f t="shared" si="43"/>
        <v>3993337294</v>
      </c>
      <c r="M93" s="659">
        <f t="shared" si="43"/>
        <v>0</v>
      </c>
      <c r="N93" s="659">
        <f t="shared" si="43"/>
        <v>0</v>
      </c>
      <c r="O93" s="659">
        <f t="shared" si="43"/>
        <v>0</v>
      </c>
      <c r="P93" s="659">
        <f t="shared" si="43"/>
        <v>0</v>
      </c>
      <c r="Q93" s="660">
        <f t="shared" si="43"/>
        <v>0</v>
      </c>
      <c r="R93" s="660">
        <f t="shared" si="43"/>
        <v>0</v>
      </c>
      <c r="S93" s="660">
        <f t="shared" si="43"/>
        <v>0</v>
      </c>
      <c r="T93" s="660">
        <f t="shared" si="43"/>
        <v>0</v>
      </c>
      <c r="U93" s="660">
        <f t="shared" si="43"/>
        <v>0</v>
      </c>
      <c r="V93" s="660">
        <f t="shared" si="43"/>
        <v>0</v>
      </c>
      <c r="W93" s="660">
        <f t="shared" si="43"/>
        <v>0</v>
      </c>
      <c r="X93" s="660">
        <f t="shared" si="43"/>
        <v>0</v>
      </c>
      <c r="Y93" s="661">
        <f t="shared" si="40"/>
        <v>10898648743</v>
      </c>
      <c r="Z93" s="661">
        <f t="shared" si="40"/>
        <v>7993694137</v>
      </c>
      <c r="AA93" s="661">
        <f t="shared" si="40"/>
        <v>4602795847</v>
      </c>
      <c r="AB93" s="661">
        <f t="shared" si="40"/>
        <v>3993337294</v>
      </c>
      <c r="AC93" s="439"/>
    </row>
    <row r="94" spans="1:29" ht="16.5" thickTop="1" thickBot="1" x14ac:dyDescent="0.3">
      <c r="A94" s="475"/>
      <c r="B94" s="475"/>
      <c r="C94" s="475"/>
      <c r="D94" s="475"/>
      <c r="E94" s="461"/>
      <c r="F94" s="461"/>
      <c r="G94" s="461"/>
      <c r="H94" s="472" t="s">
        <v>2224</v>
      </c>
      <c r="I94" s="619">
        <f>5400000000+5498648743</f>
        <v>10898648743</v>
      </c>
      <c r="J94" s="619">
        <f>4625817923+3367876214</f>
        <v>7993694137</v>
      </c>
      <c r="K94" s="619">
        <f>3836263849+766531998</f>
        <v>4602795847</v>
      </c>
      <c r="L94" s="619">
        <f>3442365248+550972046</f>
        <v>3993337294</v>
      </c>
      <c r="M94" s="619">
        <f t="shared" si="43"/>
        <v>0</v>
      </c>
      <c r="N94" s="619">
        <f t="shared" si="43"/>
        <v>0</v>
      </c>
      <c r="O94" s="619">
        <f t="shared" si="43"/>
        <v>0</v>
      </c>
      <c r="P94" s="619">
        <f t="shared" si="43"/>
        <v>0</v>
      </c>
      <c r="Q94" s="455">
        <f t="shared" si="43"/>
        <v>0</v>
      </c>
      <c r="R94" s="455">
        <f t="shared" si="43"/>
        <v>0</v>
      </c>
      <c r="S94" s="455">
        <f t="shared" si="43"/>
        <v>0</v>
      </c>
      <c r="T94" s="455">
        <f t="shared" si="43"/>
        <v>0</v>
      </c>
      <c r="U94" s="455">
        <f t="shared" si="43"/>
        <v>0</v>
      </c>
      <c r="V94" s="455">
        <f t="shared" si="43"/>
        <v>0</v>
      </c>
      <c r="W94" s="455">
        <f t="shared" si="43"/>
        <v>0</v>
      </c>
      <c r="X94" s="455">
        <f t="shared" si="43"/>
        <v>0</v>
      </c>
      <c r="Y94" s="456">
        <f t="shared" si="40"/>
        <v>10898648743</v>
      </c>
      <c r="Z94" s="456">
        <f t="shared" si="40"/>
        <v>7993694137</v>
      </c>
      <c r="AA94" s="456">
        <f t="shared" si="40"/>
        <v>4602795847</v>
      </c>
      <c r="AB94" s="456">
        <f t="shared" si="40"/>
        <v>3993337294</v>
      </c>
      <c r="AC94" s="439"/>
    </row>
    <row r="95" spans="1:29" ht="16.5" thickTop="1" thickBot="1" x14ac:dyDescent="0.3">
      <c r="A95" s="444"/>
      <c r="B95" s="444"/>
      <c r="C95" s="446"/>
      <c r="D95" s="446"/>
      <c r="E95" s="445"/>
      <c r="F95" s="445"/>
      <c r="G95" s="444"/>
      <c r="H95" s="662" t="s">
        <v>2225</v>
      </c>
      <c r="I95" s="636">
        <f>+I96</f>
        <v>3617016316</v>
      </c>
      <c r="J95" s="636">
        <f t="shared" si="43"/>
        <v>541913267</v>
      </c>
      <c r="K95" s="636">
        <f t="shared" si="43"/>
        <v>541913267</v>
      </c>
      <c r="L95" s="636">
        <f t="shared" si="43"/>
        <v>541913267</v>
      </c>
      <c r="M95" s="636">
        <f t="shared" si="43"/>
        <v>0</v>
      </c>
      <c r="N95" s="636">
        <f t="shared" si="43"/>
        <v>0</v>
      </c>
      <c r="O95" s="636">
        <f t="shared" si="43"/>
        <v>0</v>
      </c>
      <c r="P95" s="636">
        <f t="shared" si="43"/>
        <v>0</v>
      </c>
      <c r="Q95" s="637">
        <f t="shared" si="43"/>
        <v>0</v>
      </c>
      <c r="R95" s="637">
        <f t="shared" si="43"/>
        <v>0</v>
      </c>
      <c r="S95" s="637">
        <f t="shared" si="43"/>
        <v>0</v>
      </c>
      <c r="T95" s="637">
        <f t="shared" si="43"/>
        <v>0</v>
      </c>
      <c r="U95" s="637">
        <f t="shared" si="43"/>
        <v>0</v>
      </c>
      <c r="V95" s="637">
        <f t="shared" si="43"/>
        <v>0</v>
      </c>
      <c r="W95" s="637">
        <f t="shared" si="43"/>
        <v>0</v>
      </c>
      <c r="X95" s="637">
        <f t="shared" si="43"/>
        <v>0</v>
      </c>
      <c r="Y95" s="638">
        <f t="shared" si="40"/>
        <v>3617016316</v>
      </c>
      <c r="Z95" s="638">
        <f t="shared" si="40"/>
        <v>541913267</v>
      </c>
      <c r="AA95" s="638">
        <f t="shared" si="40"/>
        <v>541913267</v>
      </c>
      <c r="AB95" s="638">
        <f t="shared" si="40"/>
        <v>541913267</v>
      </c>
      <c r="AC95" s="439"/>
    </row>
    <row r="96" spans="1:29" ht="16.5" thickTop="1" thickBot="1" x14ac:dyDescent="0.3">
      <c r="A96" s="444"/>
      <c r="B96" s="444"/>
      <c r="C96" s="446"/>
      <c r="D96" s="446"/>
      <c r="E96" s="445"/>
      <c r="F96" s="445"/>
      <c r="G96" s="445"/>
      <c r="H96" s="472" t="s">
        <v>2226</v>
      </c>
      <c r="I96" s="616">
        <f>1251596003+2365420313</f>
        <v>3617016316</v>
      </c>
      <c r="J96" s="616">
        <v>541913267</v>
      </c>
      <c r="K96" s="616">
        <v>541913267</v>
      </c>
      <c r="L96" s="616">
        <v>541913267</v>
      </c>
      <c r="M96" s="616"/>
      <c r="N96" s="616"/>
      <c r="O96" s="616"/>
      <c r="P96" s="616"/>
      <c r="Q96" s="448"/>
      <c r="R96" s="448"/>
      <c r="S96" s="448"/>
      <c r="T96" s="448"/>
      <c r="U96" s="448"/>
      <c r="V96" s="448"/>
      <c r="W96" s="448"/>
      <c r="X96" s="448"/>
      <c r="Y96" s="449">
        <f t="shared" si="40"/>
        <v>3617016316</v>
      </c>
      <c r="Z96" s="449">
        <f t="shared" si="40"/>
        <v>541913267</v>
      </c>
      <c r="AA96" s="449">
        <f t="shared" si="40"/>
        <v>541913267</v>
      </c>
      <c r="AB96" s="449">
        <f t="shared" si="40"/>
        <v>541913267</v>
      </c>
      <c r="AC96" s="439"/>
    </row>
    <row r="97" spans="1:29" ht="16.5" thickTop="1" thickBot="1" x14ac:dyDescent="0.3">
      <c r="A97" s="669"/>
      <c r="B97" s="669"/>
      <c r="C97" s="670"/>
      <c r="D97" s="670"/>
      <c r="E97" s="670"/>
      <c r="F97" s="670"/>
      <c r="G97" s="670"/>
      <c r="H97" s="671" t="s">
        <v>2233</v>
      </c>
      <c r="I97" s="672">
        <f>+I47+I37+I4</f>
        <v>110803104572</v>
      </c>
      <c r="J97" s="672">
        <f t="shared" ref="J97:X97" si="44">+J47+J37+J4</f>
        <v>85539235953</v>
      </c>
      <c r="K97" s="672">
        <f t="shared" si="44"/>
        <v>49119946711</v>
      </c>
      <c r="L97" s="672">
        <f t="shared" si="44"/>
        <v>42683359089</v>
      </c>
      <c r="M97" s="672">
        <f t="shared" si="44"/>
        <v>2441226240</v>
      </c>
      <c r="N97" s="672">
        <f t="shared" si="44"/>
        <v>2440858209</v>
      </c>
      <c r="O97" s="672">
        <f t="shared" si="44"/>
        <v>2440858209</v>
      </c>
      <c r="P97" s="672">
        <f t="shared" si="44"/>
        <v>2440858209</v>
      </c>
      <c r="Q97" s="672">
        <f t="shared" si="44"/>
        <v>0</v>
      </c>
      <c r="R97" s="672">
        <f t="shared" si="44"/>
        <v>0</v>
      </c>
      <c r="S97" s="672">
        <f t="shared" si="44"/>
        <v>0</v>
      </c>
      <c r="T97" s="672">
        <f t="shared" si="44"/>
        <v>0</v>
      </c>
      <c r="U97" s="672">
        <f t="shared" si="44"/>
        <v>0</v>
      </c>
      <c r="V97" s="672">
        <f t="shared" si="44"/>
        <v>0</v>
      </c>
      <c r="W97" s="672">
        <f t="shared" si="44"/>
        <v>0</v>
      </c>
      <c r="X97" s="672">
        <f t="shared" si="44"/>
        <v>0</v>
      </c>
      <c r="Y97" s="675">
        <f t="shared" ref="Y97:AB97" si="45">+I97+M97+Q97+U97</f>
        <v>113244330812</v>
      </c>
      <c r="Z97" s="675">
        <f t="shared" si="45"/>
        <v>87980094162</v>
      </c>
      <c r="AA97" s="675">
        <f t="shared" si="45"/>
        <v>51560804920</v>
      </c>
      <c r="AB97" s="675">
        <f t="shared" si="45"/>
        <v>45124217298</v>
      </c>
      <c r="AC97" s="439"/>
    </row>
    <row r="98" spans="1:29" ht="15.75" thickTop="1" x14ac:dyDescent="0.25"/>
  </sheetData>
  <mergeCells count="13">
    <mergeCell ref="U2:X2"/>
    <mergeCell ref="Y2:AB2"/>
    <mergeCell ref="H2:H3"/>
    <mergeCell ref="I2:L2"/>
    <mergeCell ref="A2:A3"/>
    <mergeCell ref="B2:B3"/>
    <mergeCell ref="C2:C3"/>
    <mergeCell ref="D2:D3"/>
    <mergeCell ref="E2:E3"/>
    <mergeCell ref="F2:F3"/>
    <mergeCell ref="G2:G3"/>
    <mergeCell ref="M2:P2"/>
    <mergeCell ref="Q2:T2"/>
  </mergeCells>
  <printOptions horizontalCentered="1" verticalCentered="1"/>
  <pageMargins left="0.78740157480314965" right="0.78740157480314965" top="0.98425196850393704" bottom="0.98425196850393704" header="0" footer="0"/>
  <pageSetup paperSize="9" scale="86"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6</vt:i4>
      </vt:variant>
    </vt:vector>
  </HeadingPairs>
  <TitlesOfParts>
    <vt:vector size="47" baseType="lpstr">
      <vt:lpstr>Datos Generales</vt:lpstr>
      <vt:lpstr>Anexo 1</vt:lpstr>
      <vt:lpstr>Hoja1</vt:lpstr>
      <vt:lpstr>Anexo2 Protocolo Inf Gestión GD</vt:lpstr>
      <vt:lpstr>Anexo 5.1 INGRESOS</vt:lpstr>
      <vt:lpstr>PROTOCOLO INGRESOS</vt:lpstr>
      <vt:lpstr>Anexo 5.1. INGRESOS REV MESA</vt:lpstr>
      <vt:lpstr>Anexo 5.2. infor Gastos mesa 55</vt:lpstr>
      <vt:lpstr>Anexo 5.2. informe Gastos</vt:lpstr>
      <vt:lpstr>Protocolo Gastos</vt:lpstr>
      <vt:lpstr>Anexo 5.2-A. Gastos Rev</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'Anexo2 Protocolo Inf Gestión GD'!Área_de_impresión</vt:lpstr>
      <vt:lpstr>Lista_CAR</vt:lpstr>
      <vt:lpstr>REPORTE</vt:lpstr>
      <vt:lpstr>SI</vt:lpstr>
      <vt:lpstr>Vigencias</vt:lpstr>
    </vt:vector>
  </TitlesOfParts>
  <Manager>nortiz@claro.net.co</Manager>
  <Company>Derechos protegidos de autor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Edwin Giovanny Ortiz R.</dc:creator>
  <cp:keywords>Documento No Oficial</cp:keywords>
  <dc:description>Matriz elaborada por Néstor Ortiz Pérez, Consultor GIZ-MADS en el marco de PROMAC</dc:description>
  <cp:lastModifiedBy>BANCO DE PROYECTO 4</cp:lastModifiedBy>
  <cp:revision/>
  <cp:lastPrinted>2022-05-12T19:18:21Z</cp:lastPrinted>
  <dcterms:created xsi:type="dcterms:W3CDTF">2016-11-26T19:57:08Z</dcterms:created>
  <dcterms:modified xsi:type="dcterms:W3CDTF">2023-03-02T20:30:46Z</dcterms:modified>
  <cp:category>Capacitación</cp:category>
  <cp:contentStatus>Preliminar</cp:contentStatus>
</cp:coreProperties>
</file>